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illbruck\Digital\illbruck HP\Bedarfskalkulatoren\VWMS\"/>
    </mc:Choice>
  </mc:AlternateContent>
  <xr:revisionPtr revIDLastSave="0" documentId="13_ncr:1_{86A9CC7A-3414-47B5-8751-CAE4DF9743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150 SMART" sheetId="12" r:id="rId1"/>
    <sheet name="Tabelle1" sheetId="1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2" l="1"/>
  <c r="C35" i="12" l="1"/>
  <c r="E35" i="12" s="1"/>
  <c r="H42" i="12"/>
  <c r="F42" i="12"/>
  <c r="G49" i="12"/>
  <c r="F40" i="12"/>
  <c r="K29" i="12"/>
  <c r="H22" i="12"/>
  <c r="D35" i="12"/>
  <c r="O32" i="12"/>
  <c r="O33" i="12"/>
  <c r="O34" i="12"/>
  <c r="O35" i="12"/>
  <c r="O36" i="12"/>
  <c r="L36" i="12"/>
  <c r="L35" i="12"/>
  <c r="L34" i="12"/>
  <c r="L33" i="12"/>
  <c r="L32" i="12"/>
  <c r="L31" i="12"/>
  <c r="K30" i="12"/>
  <c r="K35" i="12" l="1"/>
  <c r="B42" i="12" s="1"/>
  <c r="F35" i="12"/>
  <c r="O31" i="12"/>
  <c r="L30" i="12"/>
  <c r="B35" i="12" s="1"/>
  <c r="K34" i="12"/>
  <c r="G18" i="11"/>
  <c r="I18" i="11" s="1"/>
  <c r="E18" i="11"/>
  <c r="F18" i="11" s="1"/>
  <c r="C18" i="11"/>
  <c r="E17" i="11"/>
  <c r="F17" i="11" s="1"/>
  <c r="E16" i="11"/>
  <c r="F16" i="11" s="1"/>
  <c r="F50" i="12" l="1"/>
  <c r="K31" i="12" s="1"/>
  <c r="H50" i="12"/>
  <c r="H49" i="12"/>
  <c r="F49" i="12"/>
  <c r="M48" i="12"/>
  <c r="L47" i="12"/>
  <c r="L48" i="12"/>
  <c r="M49" i="12"/>
  <c r="M50" i="12"/>
  <c r="L49" i="12"/>
  <c r="L50" i="12"/>
  <c r="L46" i="12"/>
  <c r="M47" i="12"/>
  <c r="M46" i="12"/>
  <c r="P32" i="12"/>
  <c r="P36" i="12"/>
  <c r="H35" i="12" s="1"/>
  <c r="P31" i="12"/>
  <c r="P33" i="12"/>
  <c r="P35" i="12"/>
  <c r="P34" i="12"/>
  <c r="J18" i="11"/>
  <c r="I16" i="11"/>
  <c r="G16" i="11"/>
  <c r="H16" i="11" s="1"/>
  <c r="G17" i="11"/>
  <c r="H17" i="11" s="1"/>
  <c r="I17" i="11"/>
  <c r="J17" i="11" s="1"/>
  <c r="H37" i="12" l="1"/>
  <c r="K32" i="12"/>
  <c r="D31" i="12" s="1"/>
  <c r="C47" i="12"/>
  <c r="J16" i="11"/>
  <c r="H31" i="12" l="1"/>
  <c r="D27" i="12"/>
  <c r="G27" i="12" s="1"/>
</calcChain>
</file>

<file path=xl/sharedStrings.xml><?xml version="1.0" encoding="utf-8"?>
<sst xmlns="http://schemas.openxmlformats.org/spreadsheetml/2006/main" count="108" uniqueCount="89">
  <si>
    <t>Die Systemkomponenten.</t>
  </si>
  <si>
    <t>Qualität – Einfach auf Bestellung.</t>
  </si>
  <si>
    <t>PR150 Vorwandmontage-System SMART</t>
  </si>
  <si>
    <t>Ausladung</t>
  </si>
  <si>
    <t xml:space="preserve">Abmessung </t>
  </si>
  <si>
    <t>Bestell-Nr.</t>
  </si>
  <si>
    <t>Menge</t>
  </si>
  <si>
    <t>1160 x 85 x 35 mm</t>
  </si>
  <si>
    <t>Zwischenrechnungen</t>
  </si>
  <si>
    <t>1160 x 85 x 50 mm</t>
  </si>
  <si>
    <t>1160 x 85 x 80 mm</t>
  </si>
  <si>
    <t>Anzahl Fenster und Türen</t>
  </si>
  <si>
    <t>Stück</t>
  </si>
  <si>
    <t>1160 x 85 x 100 mm</t>
  </si>
  <si>
    <t xml:space="preserve">lichte Maße der Fensteröffnung </t>
  </si>
  <si>
    <t>1160 x 85 x 120 mm</t>
  </si>
  <si>
    <t>Fensterbreite</t>
  </si>
  <si>
    <t>mm</t>
  </si>
  <si>
    <t>1160 x 85 x 140 mm</t>
  </si>
  <si>
    <t>Fensterhöhe</t>
  </si>
  <si>
    <t>1160 x 85 x 160 mm</t>
  </si>
  <si>
    <t>optionale Angabe der Blendrahmentiefe</t>
  </si>
  <si>
    <t>1160 x 85 x 180 mm</t>
  </si>
  <si>
    <t>Fugenbreite</t>
  </si>
  <si>
    <t>1160 x 85 x 200 mm</t>
  </si>
  <si>
    <t>Bedarf an Riegeln</t>
  </si>
  <si>
    <t>inkl. 2 eventueller Konsolestücke</t>
  </si>
  <si>
    <t>Reststück</t>
  </si>
  <si>
    <t>PR150</t>
  </si>
  <si>
    <t>Bedarf an Kleber</t>
  </si>
  <si>
    <t>Bedarf</t>
  </si>
  <si>
    <t>Bestellmenge</t>
  </si>
  <si>
    <t>Kleber SP351</t>
  </si>
  <si>
    <t>600 ml</t>
  </si>
  <si>
    <t>Rollenlänge</t>
  </si>
  <si>
    <t>Anzahl Scheiben</t>
  </si>
  <si>
    <t>Bedarf an Schrauben: zum Befestigen in der Wand</t>
  </si>
  <si>
    <t>Schraubenverteilung</t>
  </si>
  <si>
    <t>Schrauben gesamt:</t>
  </si>
  <si>
    <t>Zusatzverschraubung *)</t>
  </si>
  <si>
    <t>Schrauben für Konsolen **)</t>
  </si>
  <si>
    <t>i3 PowerPaket: Schallschutz</t>
  </si>
  <si>
    <t>TP652 illmod trioplex+</t>
  </si>
  <si>
    <t>SP525 Hochbaufugen-Dichtstoff</t>
  </si>
  <si>
    <t>Anschlussfuge [m]</t>
  </si>
  <si>
    <t>Anzahl Fenster und Türen [Stück]</t>
  </si>
  <si>
    <t>(EFH Format)</t>
  </si>
  <si>
    <t>Fugenbreite [mm]</t>
  </si>
  <si>
    <t>nur bis 30 mm Fugen sinnvoll!</t>
  </si>
  <si>
    <t>i3 Produkt</t>
  </si>
  <si>
    <t>Meter/ Verp.</t>
  </si>
  <si>
    <t>Verbrauch= Einheit/Meter</t>
  </si>
  <si>
    <t>Zugabe an Überlap./ Fenster</t>
  </si>
  <si>
    <t>Anzahl der Fenster</t>
  </si>
  <si>
    <t>Lfm</t>
  </si>
  <si>
    <t>Einheit</t>
  </si>
  <si>
    <r>
      <t>Schallschutz:</t>
    </r>
    <r>
      <rPr>
        <sz val="11"/>
        <color rgb="FF4D4D4D"/>
        <rFont val="Arial"/>
        <family val="2"/>
      </rPr>
      <t xml:space="preserve"> TP652 mit SP525 Hochbaufugen-Dichtstoff</t>
    </r>
  </si>
  <si>
    <t>LzM 4.3 ab Seite 81</t>
  </si>
  <si>
    <t>SP525 Hochbaufugen-Dichtstoff 310 ml</t>
  </si>
  <si>
    <t>Kartusche</t>
  </si>
  <si>
    <r>
      <t>Ø</t>
    </r>
    <r>
      <rPr>
        <sz val="11"/>
        <color rgb="FF4D4D4D"/>
        <rFont val="Arial"/>
        <family val="2"/>
      </rPr>
      <t>TP652 illmod trioplex+ nach Einbausituation</t>
    </r>
  </si>
  <si>
    <t>SP525 Hochbaufugen-Dichtstoff 600 ml</t>
  </si>
  <si>
    <t>Beutel</t>
  </si>
  <si>
    <r>
      <t>§</t>
    </r>
    <r>
      <rPr>
        <b/>
        <sz val="11"/>
        <color rgb="FF4D4D4D"/>
        <rFont val="Arial"/>
        <family val="2"/>
      </rPr>
      <t xml:space="preserve">Unverputzt 41 dB </t>
    </r>
    <r>
      <rPr>
        <sz val="11"/>
        <color rgb="FF4D4D4D"/>
        <rFont val="Arial"/>
        <family val="2"/>
      </rPr>
      <t>– normaler Schallschutz (bewertetes Fugenschalldämm-Maß)</t>
    </r>
  </si>
  <si>
    <t xml:space="preserve">TP652 illmod trioplex+ </t>
  </si>
  <si>
    <t>Rolle</t>
  </si>
  <si>
    <r>
      <t>§</t>
    </r>
    <r>
      <rPr>
        <sz val="11"/>
        <color rgb="FF4D4D4D"/>
        <rFont val="Arial"/>
        <family val="2"/>
      </rPr>
      <t>Einseitig verputzt 51 dB – Fenster bis 41 dB</t>
    </r>
  </si>
  <si>
    <r>
      <t>§</t>
    </r>
    <r>
      <rPr>
        <sz val="11"/>
        <color rgb="FF4D4D4D"/>
        <rFont val="Arial"/>
        <family val="2"/>
      </rPr>
      <t>Zweiseitig verputzt 60 dB – Fenster mit bis zu 50 dB</t>
    </r>
  </si>
  <si>
    <r>
      <t>Ø</t>
    </r>
    <r>
      <rPr>
        <sz val="11"/>
        <color rgb="FF4D4D4D"/>
        <rFont val="Arial"/>
        <family val="2"/>
      </rPr>
      <t xml:space="preserve">TP652 </t>
    </r>
    <r>
      <rPr>
        <b/>
        <sz val="11"/>
        <color rgb="FF4D4D4D"/>
        <rFont val="Arial"/>
        <family val="2"/>
      </rPr>
      <t xml:space="preserve">mit SP525 </t>
    </r>
    <r>
      <rPr>
        <sz val="11"/>
        <color rgb="FF4D4D4D"/>
        <rFont val="Arial"/>
        <family val="2"/>
      </rPr>
      <t xml:space="preserve">innen </t>
    </r>
  </si>
  <si>
    <r>
      <t>§</t>
    </r>
    <r>
      <rPr>
        <b/>
        <sz val="11"/>
        <color rgb="FF4D4D4D"/>
        <rFont val="Arial"/>
        <family val="2"/>
      </rPr>
      <t>bis 10 mm Fuge 61 dB</t>
    </r>
    <r>
      <rPr>
        <sz val="11"/>
        <color rgb="FF4D4D4D"/>
        <rFont val="Arial"/>
        <family val="2"/>
      </rPr>
      <t xml:space="preserve"> –&gt; Fenster mit bis zu 51 dB Schallschutz</t>
    </r>
  </si>
  <si>
    <r>
      <t>§</t>
    </r>
    <r>
      <rPr>
        <b/>
        <sz val="11"/>
        <color rgb="FF4D4D4D"/>
        <rFont val="Arial"/>
        <family val="2"/>
      </rPr>
      <t xml:space="preserve">bis 20 mm Fuge 58 dB </t>
    </r>
    <r>
      <rPr>
        <sz val="11"/>
        <color rgb="FF4D4D4D"/>
        <rFont val="Arial"/>
        <family val="2"/>
      </rPr>
      <t>–&gt; Fenster mit bis zu 48 dB Schallschutz</t>
    </r>
  </si>
  <si>
    <r>
      <t>§</t>
    </r>
    <r>
      <rPr>
        <b/>
        <sz val="11"/>
        <color rgb="FF4D4D4D"/>
        <rFont val="Arial"/>
        <family val="2"/>
      </rPr>
      <t xml:space="preserve">bis 30 mm Fuge 56 dB </t>
    </r>
    <r>
      <rPr>
        <sz val="11"/>
        <color rgb="FF4D4D4D"/>
        <rFont val="Arial"/>
        <family val="2"/>
      </rPr>
      <t>–&gt; Fenster mit bis zu 46 dB Schallschutz</t>
    </r>
  </si>
  <si>
    <t>6 - 20</t>
  </si>
  <si>
    <t>10 - 30</t>
  </si>
  <si>
    <t>Bedarf an Abdichtung: TP654</t>
  </si>
  <si>
    <t>Bestell-Nr.:</t>
  </si>
  <si>
    <t>Ausladung [mm]</t>
  </si>
  <si>
    <t>*) Zusatzverschraubung ab einem Elemetgewicht von &gt; 150kg und einer Ausladung &lt;120mm</t>
  </si>
  <si>
    <t>Vorwandmontage-System SY002</t>
  </si>
  <si>
    <t>horizontale</t>
  </si>
  <si>
    <t>vertikale</t>
  </si>
  <si>
    <t>Konsolen</t>
  </si>
  <si>
    <t>Fensterumfang</t>
  </si>
  <si>
    <t>Elementgewicht</t>
  </si>
  <si>
    <t>Nettolänge</t>
  </si>
  <si>
    <t>inkl. Stoß- und Eckverklebungen</t>
  </si>
  <si>
    <t>**) Konsolen ab einer Ausladung von 120mm oder einem Elementgewicht von &gt;300kg</t>
  </si>
  <si>
    <t>nur grau hinterlegte Felder zum Ausfüllen</t>
  </si>
  <si>
    <t>bei der Berechnung des Elementgewichtes liegen 40kg/m² zu Grunde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</si>
</sst>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#,##0\ &quot;Fenster&quot;"/>
    <numFmt numFmtId="169" formatCode="0\ &quot;Stück&quot;"/>
    <numFmt numFmtId="170" formatCode="&quot;Elementgewicht: ca.&quot;\ 0\ &quot;kg&quot;"/>
    <numFmt numFmtId="171" formatCode="&quot;TP654:   &quot;\ 0\ "/>
    <numFmt numFmtId="172" formatCode="0\ &quot;Karton&quot;"/>
    <numFmt numFmtId="173" formatCode="&quot;ca.&quot;\ 0.0\ &quot;m&quot;"/>
    <numFmt numFmtId="174" formatCode="0\ &quot;Beutel&quot;"/>
    <numFmt numFmtId="175" formatCode="0.00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9"/>
      <color theme="1"/>
      <name val="Arial"/>
      <family val="2"/>
      <charset val="238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92D05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b/>
      <sz val="16"/>
      <color rgb="FF92D050"/>
      <name val="Arial"/>
      <family val="2"/>
    </font>
    <font>
      <sz val="16"/>
      <color rgb="FF92D050"/>
      <name val="Arial"/>
      <family val="2"/>
    </font>
    <font>
      <b/>
      <sz val="11"/>
      <color rgb="FF4D4D4D"/>
      <name val="Arial"/>
      <family val="2"/>
    </font>
    <font>
      <sz val="11"/>
      <color rgb="FF4D4D4D"/>
      <name val="Arial"/>
      <family val="2"/>
    </font>
    <font>
      <sz val="11"/>
      <color theme="1"/>
      <name val="Wingdings"/>
      <charset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  <charset val="238"/>
    </font>
    <font>
      <b/>
      <sz val="1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12"/>
      <color rgb="FFFF0000"/>
      <name val="Calibri"/>
      <family val="2"/>
      <scheme val="minor"/>
    </font>
    <font>
      <b/>
      <sz val="20"/>
      <name val="Arial"/>
      <family val="2"/>
    </font>
    <font>
      <b/>
      <sz val="16"/>
      <color rgb="FF0070C0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Arial"/>
      <family val="2"/>
    </font>
    <font>
      <b/>
      <sz val="16"/>
      <color theme="1"/>
      <name val="Arial"/>
      <family val="2"/>
      <charset val="238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2"/>
      <charset val="238"/>
    </font>
    <font>
      <sz val="10"/>
      <color theme="0"/>
      <name val="Calibri"/>
      <family val="2"/>
      <scheme val="minor"/>
    </font>
    <font>
      <sz val="9"/>
      <color theme="0"/>
      <name val="Arial"/>
      <family val="2"/>
    </font>
    <font>
      <b/>
      <sz val="18"/>
      <name val="Calibri"/>
      <family val="2"/>
      <scheme val="minor"/>
    </font>
    <font>
      <b/>
      <sz val="18"/>
      <color theme="0"/>
      <name val="Arial"/>
      <family val="2"/>
    </font>
    <font>
      <b/>
      <sz val="18"/>
      <color theme="0"/>
      <name val="Arial"/>
      <family val="2"/>
      <charset val="238"/>
    </font>
    <font>
      <sz val="11"/>
      <color rgb="FFFF0000"/>
      <name val="Arial"/>
      <family val="2"/>
    </font>
    <font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CE29A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12" fillId="0" borderId="0" xfId="0" applyFont="1"/>
    <xf numFmtId="0" fontId="12" fillId="0" borderId="1" xfId="0" applyFont="1" applyBorder="1"/>
    <xf numFmtId="165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164" fontId="12" fillId="0" borderId="1" xfId="5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0" fillId="3" borderId="0" xfId="0" applyFill="1"/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2" fillId="3" borderId="0" xfId="0" applyFont="1" applyFill="1"/>
    <xf numFmtId="164" fontId="13" fillId="3" borderId="1" xfId="5" applyFont="1" applyFill="1" applyBorder="1" applyAlignment="1">
      <alignment horizontal="center"/>
    </xf>
    <xf numFmtId="165" fontId="12" fillId="3" borderId="1" xfId="0" applyNumberFormat="1" applyFont="1" applyFill="1" applyBorder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vertical="center"/>
    </xf>
    <xf numFmtId="0" fontId="17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166" fontId="13" fillId="2" borderId="1" xfId="0" applyNumberFormat="1" applyFont="1" applyFill="1" applyBorder="1" applyAlignment="1">
      <alignment horizontal="left" vertical="center"/>
    </xf>
    <xf numFmtId="0" fontId="8" fillId="3" borderId="0" xfId="0" applyFont="1" applyFill="1"/>
    <xf numFmtId="0" fontId="13" fillId="3" borderId="1" xfId="0" applyFont="1" applyFill="1" applyBorder="1" applyAlignment="1">
      <alignment horizontal="center"/>
    </xf>
    <xf numFmtId="167" fontId="10" fillId="4" borderId="4" xfId="0" applyNumberFormat="1" applyFont="1" applyFill="1" applyBorder="1" applyAlignment="1">
      <alignment horizontal="center" vertical="center"/>
    </xf>
    <xf numFmtId="0" fontId="12" fillId="3" borderId="18" xfId="0" applyFont="1" applyFill="1" applyBorder="1"/>
    <xf numFmtId="0" fontId="12" fillId="3" borderId="17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 vertical="center" readingOrder="1"/>
    </xf>
    <xf numFmtId="0" fontId="12" fillId="3" borderId="11" xfId="0" applyFont="1" applyFill="1" applyBorder="1"/>
    <xf numFmtId="0" fontId="12" fillId="3" borderId="12" xfId="0" applyFont="1" applyFill="1" applyBorder="1"/>
    <xf numFmtId="0" fontId="21" fillId="3" borderId="20" xfId="0" applyFont="1" applyFill="1" applyBorder="1" applyAlignment="1">
      <alignment horizontal="left" vertical="center" readingOrder="1"/>
    </xf>
    <xf numFmtId="0" fontId="0" fillId="3" borderId="21" xfId="0" applyFill="1" applyBorder="1"/>
    <xf numFmtId="0" fontId="22" fillId="3" borderId="20" xfId="0" applyFont="1" applyFill="1" applyBorder="1" applyAlignment="1">
      <alignment horizontal="left" vertical="center" indent="3" readingOrder="1"/>
    </xf>
    <xf numFmtId="0" fontId="12" fillId="3" borderId="21" xfId="0" applyFont="1" applyFill="1" applyBorder="1"/>
    <xf numFmtId="0" fontId="22" fillId="3" borderId="20" xfId="0" applyFont="1" applyFill="1" applyBorder="1" applyAlignment="1">
      <alignment horizontal="left" vertical="center" indent="8" readingOrder="1"/>
    </xf>
    <xf numFmtId="0" fontId="12" fillId="3" borderId="14" xfId="0" applyFont="1" applyFill="1" applyBorder="1"/>
    <xf numFmtId="0" fontId="12" fillId="3" borderId="16" xfId="0" applyFont="1" applyFill="1" applyBorder="1"/>
    <xf numFmtId="0" fontId="12" fillId="3" borderId="13" xfId="0" applyFont="1" applyFill="1" applyBorder="1"/>
    <xf numFmtId="0" fontId="11" fillId="3" borderId="0" xfId="0" applyFont="1" applyFill="1" applyAlignment="1">
      <alignment horizontal="left" vertical="center"/>
    </xf>
    <xf numFmtId="0" fontId="23" fillId="3" borderId="0" xfId="0" applyFont="1" applyFill="1"/>
    <xf numFmtId="0" fontId="24" fillId="3" borderId="0" xfId="0" applyFont="1" applyFill="1"/>
    <xf numFmtId="3" fontId="14" fillId="2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25" fillId="3" borderId="0" xfId="0" applyFont="1" applyFill="1"/>
    <xf numFmtId="0" fontId="4" fillId="3" borderId="0" xfId="0" applyFont="1" applyFill="1"/>
    <xf numFmtId="0" fontId="18" fillId="3" borderId="0" xfId="0" applyFont="1" applyFill="1"/>
    <xf numFmtId="0" fontId="12" fillId="3" borderId="0" xfId="0" applyFont="1" applyFill="1" applyAlignment="1">
      <alignment horizontal="left"/>
    </xf>
    <xf numFmtId="0" fontId="6" fillId="3" borderId="0" xfId="0" applyFont="1" applyFill="1"/>
    <xf numFmtId="0" fontId="19" fillId="3" borderId="0" xfId="0" applyFont="1" applyFill="1"/>
    <xf numFmtId="0" fontId="5" fillId="3" borderId="0" xfId="0" applyFont="1" applyFill="1"/>
    <xf numFmtId="0" fontId="54" fillId="0" borderId="0" xfId="0" applyFont="1" applyAlignment="1">
      <alignment horizontal="left"/>
    </xf>
    <xf numFmtId="0" fontId="10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9" fillId="3" borderId="0" xfId="0" applyFont="1" applyFill="1" applyAlignment="1">
      <alignment horizontal="left" vertical="center"/>
    </xf>
    <xf numFmtId="0" fontId="28" fillId="0" borderId="0" xfId="0" applyFont="1"/>
    <xf numFmtId="168" fontId="10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0" borderId="6" xfId="0" applyBorder="1"/>
    <xf numFmtId="0" fontId="29" fillId="0" borderId="0" xfId="0" applyFont="1" applyAlignment="1">
      <alignment vertical="center"/>
    </xf>
    <xf numFmtId="0" fontId="26" fillId="0" borderId="3" xfId="0" applyFont="1" applyBorder="1" applyAlignment="1">
      <alignment horizontal="center"/>
    </xf>
    <xf numFmtId="0" fontId="27" fillId="0" borderId="0" xfId="0" applyFont="1"/>
    <xf numFmtId="0" fontId="35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horizontal="left" vertical="center"/>
    </xf>
    <xf numFmtId="169" fontId="38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173" fontId="29" fillId="0" borderId="0" xfId="0" applyNumberFormat="1" applyFont="1" applyAlignment="1">
      <alignment horizontal="center" vertical="center"/>
    </xf>
    <xf numFmtId="0" fontId="31" fillId="0" borderId="0" xfId="0" applyFont="1"/>
    <xf numFmtId="0" fontId="29" fillId="0" borderId="34" xfId="0" applyFont="1" applyBorder="1" applyAlignment="1">
      <alignment horizontal="center"/>
    </xf>
    <xf numFmtId="0" fontId="34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174" fontId="34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1" fontId="32" fillId="0" borderId="0" xfId="0" applyNumberFormat="1" applyFont="1" applyAlignment="1">
      <alignment horizontal="right" vertical="center"/>
    </xf>
    <xf numFmtId="0" fontId="34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172" fontId="48" fillId="0" borderId="0" xfId="0" applyNumberFormat="1" applyFont="1" applyAlignment="1">
      <alignment vertical="center"/>
    </xf>
    <xf numFmtId="0" fontId="29" fillId="0" borderId="43" xfId="0" applyFont="1" applyBorder="1" applyAlignment="1">
      <alignment horizontal="center"/>
    </xf>
    <xf numFmtId="0" fontId="40" fillId="0" borderId="0" xfId="0" applyFont="1" applyAlignment="1">
      <alignment vertical="center" wrapText="1"/>
    </xf>
    <xf numFmtId="171" fontId="34" fillId="0" borderId="0" xfId="0" applyNumberFormat="1" applyFont="1" applyAlignment="1">
      <alignment horizontal="right" vertical="center"/>
    </xf>
    <xf numFmtId="167" fontId="50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170" fontId="31" fillId="0" borderId="0" xfId="0" applyNumberFormat="1" applyFont="1" applyAlignment="1">
      <alignment vertical="center"/>
    </xf>
    <xf numFmtId="0" fontId="44" fillId="0" borderId="0" xfId="0" applyFont="1" applyAlignment="1">
      <alignment vertical="center" wrapText="1"/>
    </xf>
    <xf numFmtId="0" fontId="29" fillId="0" borderId="0" xfId="0" applyFont="1"/>
    <xf numFmtId="0" fontId="45" fillId="0" borderId="21" xfId="0" applyFont="1" applyBorder="1"/>
    <xf numFmtId="0" fontId="0" fillId="0" borderId="0" xfId="0" applyAlignment="1">
      <alignment vertical="top"/>
    </xf>
    <xf numFmtId="170" fontId="31" fillId="0" borderId="0" xfId="0" applyNumberFormat="1" applyFont="1" applyAlignment="1">
      <alignment horizontal="center" vertical="center"/>
    </xf>
    <xf numFmtId="0" fontId="60" fillId="0" borderId="0" xfId="0" applyFont="1"/>
    <xf numFmtId="0" fontId="47" fillId="3" borderId="0" xfId="0" applyFont="1" applyFill="1" applyAlignment="1">
      <alignment horizontal="center" vertical="center"/>
    </xf>
    <xf numFmtId="0" fontId="5" fillId="0" borderId="0" xfId="0" applyFont="1"/>
    <xf numFmtId="0" fontId="0" fillId="0" borderId="0" xfId="0" applyAlignment="1">
      <alignment wrapText="1"/>
    </xf>
    <xf numFmtId="0" fontId="31" fillId="0" borderId="0" xfId="0" applyFont="1" applyAlignment="1">
      <alignment horizontal="center"/>
    </xf>
    <xf numFmtId="0" fontId="37" fillId="0" borderId="1" xfId="0" applyFont="1" applyBorder="1" applyAlignment="1">
      <alignment horizontal="right" vertical="center"/>
    </xf>
    <xf numFmtId="0" fontId="61" fillId="8" borderId="24" xfId="0" applyFont="1" applyFill="1" applyBorder="1" applyAlignment="1">
      <alignment horizontal="right" vertical="center"/>
    </xf>
    <xf numFmtId="0" fontId="46" fillId="5" borderId="23" xfId="0" applyFont="1" applyFill="1" applyBorder="1" applyAlignment="1">
      <alignment vertical="center"/>
    </xf>
    <xf numFmtId="172" fontId="48" fillId="5" borderId="34" xfId="0" applyNumberFormat="1" applyFont="1" applyFill="1" applyBorder="1" applyAlignment="1">
      <alignment horizontal="center" vertical="center"/>
    </xf>
    <xf numFmtId="1" fontId="48" fillId="5" borderId="44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55" fillId="3" borderId="0" xfId="0" applyFont="1" applyFill="1" applyAlignment="1">
      <alignment horizontal="left"/>
    </xf>
    <xf numFmtId="0" fontId="54" fillId="3" borderId="0" xfId="0" applyFont="1" applyFill="1" applyAlignment="1">
      <alignment horizontal="left"/>
    </xf>
    <xf numFmtId="0" fontId="56" fillId="3" borderId="0" xfId="0" applyFont="1" applyFill="1" applyAlignment="1">
      <alignment horizontal="left"/>
    </xf>
    <xf numFmtId="0" fontId="57" fillId="3" borderId="0" xfId="0" applyFont="1" applyFill="1" applyAlignment="1">
      <alignment horizontal="left" vertical="center"/>
    </xf>
    <xf numFmtId="0" fontId="58" fillId="3" borderId="0" xfId="0" applyFont="1" applyFill="1" applyAlignment="1">
      <alignment horizontal="left"/>
    </xf>
    <xf numFmtId="175" fontId="59" fillId="3" borderId="0" xfId="0" applyNumberFormat="1" applyFont="1" applyFill="1" applyAlignment="1">
      <alignment horizontal="left"/>
    </xf>
    <xf numFmtId="49" fontId="54" fillId="0" borderId="0" xfId="0" applyNumberFormat="1" applyFont="1" applyAlignment="1">
      <alignment horizontal="left"/>
    </xf>
    <xf numFmtId="0" fontId="60" fillId="0" borderId="0" xfId="0" applyFont="1" applyAlignment="1">
      <alignment vertical="center"/>
    </xf>
    <xf numFmtId="0" fontId="37" fillId="0" borderId="1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1" fontId="34" fillId="10" borderId="4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vertical="center" wrapText="1"/>
    </xf>
    <xf numFmtId="0" fontId="63" fillId="3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54" fillId="0" borderId="0" xfId="0" applyFont="1"/>
    <xf numFmtId="0" fontId="33" fillId="3" borderId="0" xfId="0" applyFont="1" applyFill="1" applyAlignment="1">
      <alignment horizontal="left" vertical="center"/>
    </xf>
    <xf numFmtId="0" fontId="33" fillId="3" borderId="25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14" fillId="11" borderId="26" xfId="0" applyFont="1" applyFill="1" applyBorder="1" applyAlignment="1">
      <alignment horizontal="center" vertical="center"/>
    </xf>
    <xf numFmtId="0" fontId="14" fillId="11" borderId="27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3" fillId="6" borderId="26" xfId="0" applyFont="1" applyFill="1" applyBorder="1" applyAlignment="1" applyProtection="1">
      <alignment horizontal="center" vertical="center"/>
      <protection locked="0"/>
    </xf>
    <xf numFmtId="0" fontId="12" fillId="6" borderId="26" xfId="0" applyFont="1" applyFill="1" applyBorder="1" applyAlignment="1" applyProtection="1">
      <alignment horizontal="center" vertical="center"/>
      <protection locked="0"/>
    </xf>
    <xf numFmtId="0" fontId="14" fillId="11" borderId="26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right" vertical="center"/>
    </xf>
    <xf numFmtId="1" fontId="34" fillId="6" borderId="43" xfId="0" applyNumberFormat="1" applyFont="1" applyFill="1" applyBorder="1" applyAlignment="1" applyProtection="1">
      <alignment horizontal="center" vertical="center"/>
      <protection locked="0"/>
    </xf>
    <xf numFmtId="1" fontId="34" fillId="6" borderId="44" xfId="0" applyNumberFormat="1" applyFont="1" applyFill="1" applyBorder="1" applyAlignment="1" applyProtection="1">
      <alignment horizontal="center" vertical="center"/>
      <protection locked="0"/>
    </xf>
    <xf numFmtId="0" fontId="33" fillId="3" borderId="1" xfId="0" applyFont="1" applyFill="1" applyBorder="1" applyAlignment="1">
      <alignment horizontal="right" vertical="center"/>
    </xf>
    <xf numFmtId="0" fontId="33" fillId="3" borderId="17" xfId="0" applyFont="1" applyFill="1" applyBorder="1" applyAlignment="1">
      <alignment horizontal="right" vertical="center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11" borderId="5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62" fillId="9" borderId="46" xfId="0" applyFont="1" applyFill="1" applyBorder="1" applyAlignment="1">
      <alignment horizontal="right" vertical="center"/>
    </xf>
    <xf numFmtId="0" fontId="62" fillId="9" borderId="47" xfId="0" applyFont="1" applyFill="1" applyBorder="1" applyAlignment="1">
      <alignment horizontal="right" vertical="center"/>
    </xf>
    <xf numFmtId="169" fontId="52" fillId="4" borderId="11" xfId="0" applyNumberFormat="1" applyFont="1" applyFill="1" applyBorder="1" applyAlignment="1">
      <alignment horizontal="center" vertical="center"/>
    </xf>
    <xf numFmtId="169" fontId="52" fillId="4" borderId="12" xfId="0" applyNumberFormat="1" applyFont="1" applyFill="1" applyBorder="1" applyAlignment="1">
      <alignment horizontal="center" vertical="center"/>
    </xf>
    <xf numFmtId="169" fontId="52" fillId="4" borderId="14" xfId="0" applyNumberFormat="1" applyFont="1" applyFill="1" applyBorder="1" applyAlignment="1">
      <alignment horizontal="center" vertical="center"/>
    </xf>
    <xf numFmtId="169" fontId="52" fillId="4" borderId="16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51" fillId="11" borderId="17" xfId="0" applyFont="1" applyFill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right" vertical="center"/>
    </xf>
    <xf numFmtId="0" fontId="36" fillId="0" borderId="17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7" fillId="0" borderId="17" xfId="0" applyFont="1" applyBorder="1" applyAlignment="1">
      <alignment horizontal="right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51" fillId="11" borderId="45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169" fontId="37" fillId="0" borderId="29" xfId="0" applyNumberFormat="1" applyFont="1" applyBorder="1" applyAlignment="1">
      <alignment horizontal="center" vertical="center"/>
    </xf>
    <xf numFmtId="169" fontId="37" fillId="0" borderId="30" xfId="0" applyNumberFormat="1" applyFont="1" applyBorder="1" applyAlignment="1">
      <alignment horizontal="center" vertical="center"/>
    </xf>
    <xf numFmtId="169" fontId="37" fillId="0" borderId="32" xfId="0" applyNumberFormat="1" applyFont="1" applyBorder="1" applyAlignment="1">
      <alignment horizontal="center" vertical="center"/>
    </xf>
    <xf numFmtId="169" fontId="37" fillId="0" borderId="33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" fontId="13" fillId="0" borderId="18" xfId="0" applyNumberFormat="1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31" fillId="6" borderId="34" xfId="0" applyFont="1" applyFill="1" applyBorder="1" applyAlignment="1" applyProtection="1">
      <alignment horizontal="center" vertical="center"/>
      <protection locked="0"/>
    </xf>
    <xf numFmtId="0" fontId="31" fillId="6" borderId="36" xfId="0" applyFont="1" applyFill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left" vertical="center"/>
    </xf>
    <xf numFmtId="0" fontId="31" fillId="0" borderId="3" xfId="0" applyFont="1" applyBorder="1" applyAlignment="1">
      <alignment horizontal="right" vertical="center"/>
    </xf>
    <xf numFmtId="0" fontId="31" fillId="0" borderId="22" xfId="0" applyFont="1" applyBorder="1" applyAlignment="1">
      <alignment horizontal="right" vertical="center"/>
    </xf>
    <xf numFmtId="0" fontId="31" fillId="0" borderId="17" xfId="0" applyFont="1" applyBorder="1" applyAlignment="1">
      <alignment horizontal="right" vertical="center"/>
    </xf>
    <xf numFmtId="0" fontId="31" fillId="6" borderId="43" xfId="0" applyFont="1" applyFill="1" applyBorder="1" applyAlignment="1" applyProtection="1">
      <alignment horizontal="center" vertical="center"/>
      <protection locked="0"/>
    </xf>
    <xf numFmtId="0" fontId="31" fillId="6" borderId="44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left"/>
    </xf>
    <xf numFmtId="0" fontId="29" fillId="0" borderId="5" xfId="0" applyFont="1" applyBorder="1" applyAlignment="1">
      <alignment horizontal="center"/>
    </xf>
    <xf numFmtId="0" fontId="49" fillId="0" borderId="1" xfId="0" applyFont="1" applyBorder="1" applyAlignment="1">
      <alignment horizontal="right" vertical="center"/>
    </xf>
    <xf numFmtId="0" fontId="49" fillId="0" borderId="17" xfId="0" applyFont="1" applyBorder="1" applyAlignment="1">
      <alignment horizontal="right" vertical="center"/>
    </xf>
    <xf numFmtId="0" fontId="44" fillId="0" borderId="0" xfId="0" applyFont="1" applyAlignment="1">
      <alignment horizontal="right" vertical="center" wrapText="1"/>
    </xf>
    <xf numFmtId="171" fontId="34" fillId="10" borderId="37" xfId="0" applyNumberFormat="1" applyFont="1" applyFill="1" applyBorder="1" applyAlignment="1">
      <alignment horizontal="right" vertical="center" wrapText="1"/>
    </xf>
    <xf numFmtId="171" fontId="34" fillId="10" borderId="40" xfId="0" applyNumberFormat="1" applyFont="1" applyFill="1" applyBorder="1" applyAlignment="1">
      <alignment horizontal="right" vertical="center" wrapText="1"/>
    </xf>
    <xf numFmtId="0" fontId="34" fillId="10" borderId="38" xfId="0" applyFont="1" applyFill="1" applyBorder="1" applyAlignment="1">
      <alignment horizontal="center" vertical="center"/>
    </xf>
    <xf numFmtId="0" fontId="34" fillId="10" borderId="41" xfId="0" applyFont="1" applyFill="1" applyBorder="1" applyAlignment="1">
      <alignment horizontal="center" vertical="center"/>
    </xf>
    <xf numFmtId="167" fontId="33" fillId="10" borderId="38" xfId="0" applyNumberFormat="1" applyFont="1" applyFill="1" applyBorder="1" applyAlignment="1">
      <alignment horizontal="center" vertical="center"/>
    </xf>
    <xf numFmtId="167" fontId="33" fillId="10" borderId="41" xfId="0" applyNumberFormat="1" applyFont="1" applyFill="1" applyBorder="1" applyAlignment="1">
      <alignment horizontal="center" vertical="center"/>
    </xf>
    <xf numFmtId="0" fontId="34" fillId="10" borderId="39" xfId="0" applyFont="1" applyFill="1" applyBorder="1" applyAlignment="1">
      <alignment horizontal="center" vertical="center"/>
    </xf>
    <xf numFmtId="0" fontId="34" fillId="10" borderId="42" xfId="0" applyFont="1" applyFill="1" applyBorder="1" applyAlignment="1">
      <alignment horizontal="center" vertical="center"/>
    </xf>
    <xf numFmtId="172" fontId="34" fillId="10" borderId="35" xfId="0" applyNumberFormat="1" applyFont="1" applyFill="1" applyBorder="1" applyAlignment="1">
      <alignment horizontal="center" vertical="center" wrapText="1"/>
    </xf>
    <xf numFmtId="172" fontId="34" fillId="10" borderId="3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73" fontId="29" fillId="0" borderId="1" xfId="0" applyNumberFormat="1" applyFont="1" applyBorder="1" applyAlignment="1">
      <alignment horizontal="center" vertical="center"/>
    </xf>
    <xf numFmtId="174" fontId="34" fillId="5" borderId="7" xfId="0" applyNumberFormat="1" applyFont="1" applyFill="1" applyBorder="1" applyAlignment="1">
      <alignment horizontal="center" vertical="center"/>
    </xf>
    <xf numFmtId="174" fontId="34" fillId="5" borderId="9" xfId="0" applyNumberFormat="1" applyFont="1" applyFill="1" applyBorder="1" applyAlignment="1">
      <alignment horizontal="center" vertical="center"/>
    </xf>
    <xf numFmtId="170" fontId="31" fillId="7" borderId="28" xfId="0" applyNumberFormat="1" applyFont="1" applyFill="1" applyBorder="1" applyAlignment="1">
      <alignment horizontal="center" vertical="center"/>
    </xf>
    <xf numFmtId="170" fontId="31" fillId="7" borderId="29" xfId="0" applyNumberFormat="1" applyFont="1" applyFill="1" applyBorder="1" applyAlignment="1">
      <alignment horizontal="center" vertical="center"/>
    </xf>
    <xf numFmtId="170" fontId="31" fillId="7" borderId="30" xfId="0" applyNumberFormat="1" applyFont="1" applyFill="1" applyBorder="1" applyAlignment="1">
      <alignment horizontal="center" vertical="center"/>
    </xf>
    <xf numFmtId="170" fontId="31" fillId="7" borderId="31" xfId="0" applyNumberFormat="1" applyFont="1" applyFill="1" applyBorder="1" applyAlignment="1">
      <alignment horizontal="center" vertical="center"/>
    </xf>
    <xf numFmtId="170" fontId="31" fillId="7" borderId="32" xfId="0" applyNumberFormat="1" applyFont="1" applyFill="1" applyBorder="1" applyAlignment="1">
      <alignment horizontal="center" vertical="center"/>
    </xf>
    <xf numFmtId="170" fontId="31" fillId="7" borderId="3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FCE29A"/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410845</xdr:colOff>
      <xdr:row>0</xdr:row>
      <xdr:rowOff>109855</xdr:rowOff>
    </xdr:from>
    <xdr:to>
      <xdr:col>7</xdr:col>
      <xdr:colOff>589009</xdr:colOff>
      <xdr:row>4</xdr:row>
      <xdr:rowOff>177800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578534-A1B3-4E5D-A9E7-C4D3BB637C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9"/>
        <a:stretch/>
      </xdr:blipFill>
      <xdr:spPr bwMode="auto">
        <a:xfrm>
          <a:off x="6976745" y="109855"/>
          <a:ext cx="1128850" cy="1096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977900</xdr:colOff>
      <xdr:row>2</xdr:row>
      <xdr:rowOff>139089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DB8C103-2B22-404C-89E7-EEC0557BE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65300" cy="659788"/>
        </a:xfrm>
        <a:prstGeom prst="rect">
          <a:avLst/>
        </a:prstGeom>
      </xdr:spPr>
    </xdr:pic>
    <xdr:clientData/>
  </xdr:twoCellAnchor>
  <xdr:twoCellAnchor>
    <xdr:from>
      <xdr:col>5</xdr:col>
      <xdr:colOff>481694</xdr:colOff>
      <xdr:row>6</xdr:row>
      <xdr:rowOff>162922</xdr:rowOff>
    </xdr:from>
    <xdr:to>
      <xdr:col>7</xdr:col>
      <xdr:colOff>979714</xdr:colOff>
      <xdr:row>7</xdr:row>
      <xdr:rowOff>154214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456BA52C-9EEC-4D13-A1AD-30E452633CF6}"/>
            </a:ext>
          </a:extLst>
        </xdr:cNvPr>
        <xdr:cNvSpPr/>
      </xdr:nvSpPr>
      <xdr:spPr>
        <a:xfrm>
          <a:off x="5968094" y="1775822"/>
          <a:ext cx="2364920" cy="18179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481694</xdr:colOff>
      <xdr:row>16</xdr:row>
      <xdr:rowOff>182154</xdr:rowOff>
    </xdr:from>
    <xdr:to>
      <xdr:col>7</xdr:col>
      <xdr:colOff>990600</xdr:colOff>
      <xdr:row>18</xdr:row>
      <xdr:rowOff>7257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4D000B5-A7D0-44AF-B7F8-6246770A4FCA}"/>
            </a:ext>
          </a:extLst>
        </xdr:cNvPr>
        <xdr:cNvSpPr/>
      </xdr:nvSpPr>
      <xdr:spPr>
        <a:xfrm>
          <a:off x="5968094" y="3661954"/>
          <a:ext cx="2375806" cy="20610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770979</xdr:colOff>
      <xdr:row>7</xdr:row>
      <xdr:rowOff>167095</xdr:rowOff>
    </xdr:from>
    <xdr:to>
      <xdr:col>7</xdr:col>
      <xdr:colOff>975086</xdr:colOff>
      <xdr:row>16</xdr:row>
      <xdr:rowOff>167639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DBB1F3AB-EF41-41E7-BF0C-317FF8D9AD0A}"/>
            </a:ext>
          </a:extLst>
        </xdr:cNvPr>
        <xdr:cNvSpPr/>
      </xdr:nvSpPr>
      <xdr:spPr>
        <a:xfrm flipH="1">
          <a:off x="8097065" y="2224495"/>
          <a:ext cx="204107" cy="172048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481692</xdr:colOff>
      <xdr:row>7</xdr:row>
      <xdr:rowOff>167096</xdr:rowOff>
    </xdr:from>
    <xdr:to>
      <xdr:col>5</xdr:col>
      <xdr:colOff>707570</xdr:colOff>
      <xdr:row>16</xdr:row>
      <xdr:rowOff>163285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FD160F8D-F3C4-46D2-8331-6B2C282371EB}"/>
            </a:ext>
          </a:extLst>
        </xdr:cNvPr>
        <xdr:cNvSpPr/>
      </xdr:nvSpPr>
      <xdr:spPr>
        <a:xfrm flipH="1">
          <a:off x="5891892" y="2953839"/>
          <a:ext cx="225878" cy="171613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874944</xdr:colOff>
      <xdr:row>8</xdr:row>
      <xdr:rowOff>60143</xdr:rowOff>
    </xdr:from>
    <xdr:to>
      <xdr:col>7</xdr:col>
      <xdr:colOff>583749</xdr:colOff>
      <xdr:row>16</xdr:row>
      <xdr:rowOff>62865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8487D477-F029-4CA2-93B9-631A41BA8CD6}"/>
            </a:ext>
            <a:ext uri="{147F2762-F138-4A5C-976F-8EAC2B608ADB}">
              <a16:predDERef xmlns:a16="http://schemas.microsoft.com/office/drawing/2014/main" pred="{FD160F8D-F3C4-46D2-8331-6B2C282371EB}"/>
            </a:ext>
          </a:extLst>
        </xdr:cNvPr>
        <xdr:cNvSpPr/>
      </xdr:nvSpPr>
      <xdr:spPr>
        <a:xfrm>
          <a:off x="6208944" y="2288993"/>
          <a:ext cx="1518555" cy="1526722"/>
        </a:xfrm>
        <a:prstGeom prst="rect">
          <a:avLst/>
        </a:prstGeom>
        <a:solidFill>
          <a:schemeClr val="bg1">
            <a:lumMod val="7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15425</xdr:colOff>
      <xdr:row>9</xdr:row>
      <xdr:rowOff>35197</xdr:rowOff>
    </xdr:from>
    <xdr:to>
      <xdr:col>7</xdr:col>
      <xdr:colOff>377373</xdr:colOff>
      <xdr:row>15</xdr:row>
      <xdr:rowOff>104594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78FD8D01-783C-46EA-85C4-1927D85095BD}"/>
            </a:ext>
          </a:extLst>
        </xdr:cNvPr>
        <xdr:cNvSpPr/>
      </xdr:nvSpPr>
      <xdr:spPr>
        <a:xfrm>
          <a:off x="6581325" y="2016397"/>
          <a:ext cx="1149348" cy="1136197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910318</xdr:colOff>
      <xdr:row>14</xdr:row>
      <xdr:rowOff>65314</xdr:rowOff>
    </xdr:from>
    <xdr:to>
      <xdr:col>7</xdr:col>
      <xdr:colOff>583747</xdr:colOff>
      <xdr:row>14</xdr:row>
      <xdr:rowOff>65314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B61CB84-C650-4A46-8CAF-AB9554FA42E2}"/>
            </a:ext>
            <a:ext uri="{147F2762-F138-4A5C-976F-8EAC2B608ADB}">
              <a16:predDERef xmlns:a16="http://schemas.microsoft.com/office/drawing/2014/main" pred="{78FD8D01-783C-46EA-85C4-1927D85095BD}"/>
            </a:ext>
          </a:extLst>
        </xdr:cNvPr>
        <xdr:cNvCxnSpPr/>
      </xdr:nvCxnSpPr>
      <xdr:spPr>
        <a:xfrm>
          <a:off x="6244318" y="3446689"/>
          <a:ext cx="1483179" cy="0"/>
        </a:xfrm>
        <a:prstGeom prst="straightConnector1">
          <a:avLst/>
        </a:prstGeom>
        <a:ln w="190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399507</xdr:colOff>
      <xdr:row>8</xdr:row>
      <xdr:rowOff>60143</xdr:rowOff>
    </xdr:from>
    <xdr:to>
      <xdr:col>6</xdr:col>
      <xdr:colOff>409032</xdr:colOff>
      <xdr:row>16</xdr:row>
      <xdr:rowOff>34290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788C7A1-1337-444D-A250-CA74283084AB}"/>
            </a:ext>
          </a:extLst>
        </xdr:cNvPr>
        <xdr:cNvCxnSpPr/>
      </xdr:nvCxnSpPr>
      <xdr:spPr>
        <a:xfrm flipV="1">
          <a:off x="6637021" y="3031943"/>
          <a:ext cx="9525" cy="1498147"/>
        </a:xfrm>
        <a:prstGeom prst="straightConnector1">
          <a:avLst/>
        </a:prstGeom>
        <a:ln w="19050">
          <a:solidFill>
            <a:schemeClr val="tx2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772882</xdr:colOff>
      <xdr:row>40</xdr:row>
      <xdr:rowOff>152402</xdr:rowOff>
    </xdr:from>
    <xdr:to>
      <xdr:col>7</xdr:col>
      <xdr:colOff>359225</xdr:colOff>
      <xdr:row>41</xdr:row>
      <xdr:rowOff>10885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E40CBBF0-6917-1050-2624-6AAFBB703C1D}"/>
            </a:ext>
          </a:extLst>
        </xdr:cNvPr>
        <xdr:cNvSpPr/>
      </xdr:nvSpPr>
      <xdr:spPr>
        <a:xfrm>
          <a:off x="6259282" y="9220202"/>
          <a:ext cx="1611086" cy="17416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772882</xdr:colOff>
      <xdr:row>47</xdr:row>
      <xdr:rowOff>43540</xdr:rowOff>
    </xdr:from>
    <xdr:to>
      <xdr:col>7</xdr:col>
      <xdr:colOff>359225</xdr:colOff>
      <xdr:row>47</xdr:row>
      <xdr:rowOff>239485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AEF2D33D-75B2-46CD-8E26-02FD72064CE4}"/>
            </a:ext>
          </a:extLst>
        </xdr:cNvPr>
        <xdr:cNvSpPr/>
      </xdr:nvSpPr>
      <xdr:spPr>
        <a:xfrm>
          <a:off x="6259282" y="10733311"/>
          <a:ext cx="1611086" cy="19594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163284</xdr:colOff>
      <xdr:row>41</xdr:row>
      <xdr:rowOff>21767</xdr:rowOff>
    </xdr:from>
    <xdr:to>
      <xdr:col>7</xdr:col>
      <xdr:colOff>359227</xdr:colOff>
      <xdr:row>47</xdr:row>
      <xdr:rowOff>32657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6310BC56-591A-421E-9B21-3697BB658DA7}"/>
            </a:ext>
          </a:extLst>
        </xdr:cNvPr>
        <xdr:cNvSpPr/>
      </xdr:nvSpPr>
      <xdr:spPr>
        <a:xfrm flipV="1">
          <a:off x="7674427" y="9405253"/>
          <a:ext cx="195943" cy="13171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772884</xdr:colOff>
      <xdr:row>41</xdr:row>
      <xdr:rowOff>10884</xdr:rowOff>
    </xdr:from>
    <xdr:to>
      <xdr:col>5</xdr:col>
      <xdr:colOff>990599</xdr:colOff>
      <xdr:row>47</xdr:row>
      <xdr:rowOff>32656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F9EEC159-F070-441B-9CAB-8750B116BE15}"/>
            </a:ext>
          </a:extLst>
        </xdr:cNvPr>
        <xdr:cNvSpPr/>
      </xdr:nvSpPr>
      <xdr:spPr>
        <a:xfrm flipV="1">
          <a:off x="6259284" y="9394370"/>
          <a:ext cx="217715" cy="132805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1379220</xdr:colOff>
      <xdr:row>22</xdr:row>
      <xdr:rowOff>129540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25196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161510</xdr:rowOff>
    </xdr:from>
    <xdr:to>
      <xdr:col>13</xdr:col>
      <xdr:colOff>313182</xdr:colOff>
      <xdr:row>33</xdr:row>
      <xdr:rowOff>108932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5716490"/>
          <a:ext cx="1105662" cy="1044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256510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3140" cy="77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90F1-5953-4CCB-8FF2-2F3241ADF757}">
  <sheetPr codeName="Tabelle2">
    <pageSetUpPr fitToPage="1"/>
  </sheetPr>
  <dimension ref="A1:AB59"/>
  <sheetViews>
    <sheetView showGridLines="0" tabSelected="1" zoomScale="64" zoomScaleNormal="80" workbookViewId="0">
      <selection activeCell="K26" sqref="K26"/>
    </sheetView>
  </sheetViews>
  <sheetFormatPr baseColWidth="10" defaultColWidth="11.453125" defaultRowHeight="14.5" x14ac:dyDescent="0.35"/>
  <cols>
    <col min="2" max="2" width="31" customWidth="1"/>
    <col min="3" max="3" width="13.36328125" customWidth="1"/>
    <col min="4" max="4" width="11.08984375" customWidth="1"/>
    <col min="5" max="5" width="13.08984375" customWidth="1"/>
    <col min="6" max="6" width="15.6328125" customWidth="1"/>
    <col min="7" max="7" width="13.81640625" customWidth="1"/>
    <col min="8" max="8" width="17.90625" customWidth="1"/>
    <col min="9" max="9" width="6.453125" customWidth="1"/>
    <col min="12" max="12" width="14.36328125" customWidth="1"/>
    <col min="13" max="13" width="21.90625" customWidth="1"/>
    <col min="14" max="14" width="13.54296875" customWidth="1"/>
    <col min="15" max="15" width="13.6328125" bestFit="1" customWidth="1"/>
    <col min="17" max="17" width="14.81640625" bestFit="1" customWidth="1"/>
    <col min="18" max="25" width="8.81640625" customWidth="1"/>
    <col min="26" max="26" width="2.36328125" customWidth="1"/>
    <col min="27" max="27" width="8.81640625" customWidth="1"/>
  </cols>
  <sheetData>
    <row r="1" spans="1:28" s="49" customFormat="1" ht="20" x14ac:dyDescent="0.4">
      <c r="A1" s="46"/>
      <c r="B1" s="46"/>
      <c r="C1" s="46"/>
      <c r="D1" s="47"/>
      <c r="E1" s="46"/>
      <c r="F1" s="46"/>
      <c r="G1" s="46"/>
      <c r="H1" s="48"/>
      <c r="P1" s="48"/>
      <c r="Q1" s="48"/>
      <c r="R1" s="48"/>
      <c r="S1" s="54"/>
      <c r="T1" s="54"/>
      <c r="U1" s="54"/>
      <c r="V1" s="54"/>
      <c r="W1" s="54"/>
      <c r="X1" s="54"/>
      <c r="Y1" s="48"/>
      <c r="Z1" s="48"/>
      <c r="AA1" s="48"/>
      <c r="AB1" s="48"/>
    </row>
    <row r="2" spans="1:28" s="49" customFormat="1" ht="20" x14ac:dyDescent="0.4">
      <c r="A2" s="46"/>
      <c r="B2" s="46"/>
      <c r="C2" s="46"/>
      <c r="D2" s="47"/>
      <c r="E2" s="46"/>
      <c r="F2" s="46"/>
      <c r="G2" s="46"/>
      <c r="H2" s="48"/>
      <c r="J2" s="50"/>
      <c r="K2" s="50" t="s">
        <v>0</v>
      </c>
      <c r="L2" s="51"/>
      <c r="P2" s="48"/>
      <c r="AB2" s="48"/>
    </row>
    <row r="3" spans="1:28" s="49" customFormat="1" ht="20" x14ac:dyDescent="0.4">
      <c r="A3" s="46"/>
      <c r="B3" s="130" t="s">
        <v>78</v>
      </c>
      <c r="C3" s="130"/>
      <c r="D3" s="130"/>
      <c r="E3" s="130"/>
      <c r="F3" s="46"/>
      <c r="G3" s="46"/>
      <c r="H3" s="48"/>
      <c r="K3" s="53" t="s">
        <v>1</v>
      </c>
      <c r="L3" s="51"/>
      <c r="P3" s="48"/>
      <c r="AB3" s="48"/>
    </row>
    <row r="4" spans="1:28" s="49" customFormat="1" ht="20" x14ac:dyDescent="0.4">
      <c r="A4" s="46"/>
      <c r="B4" s="130"/>
      <c r="C4" s="130"/>
      <c r="D4" s="130"/>
      <c r="E4" s="130"/>
      <c r="F4" s="46"/>
      <c r="G4" s="46"/>
      <c r="H4" s="48"/>
      <c r="L4" s="128" t="s">
        <v>2</v>
      </c>
      <c r="M4" s="128"/>
      <c r="N4" s="128"/>
      <c r="O4" s="128"/>
      <c r="P4" s="48"/>
      <c r="AB4" s="48"/>
    </row>
    <row r="5" spans="1:28" s="49" customFormat="1" ht="15.75" customHeight="1" x14ac:dyDescent="0.4">
      <c r="A5" s="46"/>
      <c r="F5" s="9"/>
      <c r="G5" s="9"/>
      <c r="H5" s="48"/>
      <c r="L5" s="129"/>
      <c r="M5" s="129"/>
      <c r="N5" s="129"/>
      <c r="O5" s="129"/>
      <c r="P5" s="48"/>
      <c r="AB5" s="48"/>
    </row>
    <row r="6" spans="1:28" s="9" customFormat="1" x14ac:dyDescent="0.35">
      <c r="A6"/>
      <c r="B6"/>
      <c r="C6"/>
      <c r="D6"/>
      <c r="E6"/>
      <c r="F6"/>
      <c r="G6"/>
      <c r="H6"/>
      <c r="I6"/>
      <c r="J6" s="12"/>
      <c r="K6" s="12"/>
      <c r="L6" s="137" t="s">
        <v>76</v>
      </c>
      <c r="M6" s="132" t="s">
        <v>4</v>
      </c>
      <c r="N6" s="133" t="s">
        <v>5</v>
      </c>
      <c r="O6" s="132" t="s">
        <v>6</v>
      </c>
      <c r="P6" s="54"/>
      <c r="AB6" s="54"/>
    </row>
    <row r="7" spans="1:28" s="52" customFormat="1" ht="15" customHeight="1" x14ac:dyDescent="0.35">
      <c r="A7" s="9"/>
      <c r="B7" s="138" t="s">
        <v>87</v>
      </c>
      <c r="C7" s="138"/>
      <c r="D7" s="138"/>
      <c r="E7" s="138"/>
      <c r="F7"/>
      <c r="G7"/>
      <c r="H7"/>
      <c r="I7"/>
      <c r="K7" s="56"/>
      <c r="L7" s="137"/>
      <c r="M7" s="132"/>
      <c r="N7" s="133"/>
      <c r="O7" s="132"/>
      <c r="P7" s="54"/>
      <c r="AB7" s="54"/>
    </row>
    <row r="8" spans="1:28" s="9" customFormat="1" ht="15" customHeight="1" thickBot="1" x14ac:dyDescent="0.4">
      <c r="A8"/>
      <c r="B8"/>
      <c r="C8"/>
      <c r="D8"/>
      <c r="E8"/>
      <c r="F8"/>
      <c r="G8"/>
      <c r="H8"/>
      <c r="I8"/>
      <c r="J8" s="57"/>
      <c r="K8" s="58"/>
      <c r="L8" s="168">
        <v>35</v>
      </c>
      <c r="M8" s="159" t="s">
        <v>7</v>
      </c>
      <c r="N8" s="153">
        <v>510445</v>
      </c>
      <c r="O8" s="135"/>
      <c r="P8" s="54"/>
      <c r="AB8" s="54"/>
    </row>
    <row r="9" spans="1:28" s="9" customFormat="1" ht="15" customHeight="1" x14ac:dyDescent="0.35">
      <c r="A9" s="59"/>
      <c r="B9" s="141" t="s">
        <v>11</v>
      </c>
      <c r="C9" s="142"/>
      <c r="D9" s="139">
        <v>18</v>
      </c>
      <c r="E9" s="184" t="s">
        <v>12</v>
      </c>
      <c r="F9"/>
      <c r="G9"/>
      <c r="H9"/>
      <c r="I9"/>
      <c r="J9" s="57"/>
      <c r="K9" s="58"/>
      <c r="L9" s="169"/>
      <c r="M9" s="158"/>
      <c r="N9" s="154"/>
      <c r="O9" s="135"/>
      <c r="P9" s="54"/>
      <c r="AB9" s="54"/>
    </row>
    <row r="10" spans="1:28" s="9" customFormat="1" ht="15" thickBot="1" x14ac:dyDescent="0.4">
      <c r="B10" s="141"/>
      <c r="C10" s="142"/>
      <c r="D10" s="140"/>
      <c r="E10" s="184"/>
      <c r="F10"/>
      <c r="G10"/>
      <c r="H10"/>
      <c r="I10"/>
      <c r="J10" s="57"/>
      <c r="K10" s="58"/>
      <c r="L10" s="164">
        <v>50</v>
      </c>
      <c r="M10" s="144" t="s">
        <v>9</v>
      </c>
      <c r="N10" s="155">
        <v>510446</v>
      </c>
      <c r="O10" s="136"/>
      <c r="P10" s="54"/>
      <c r="AB10" s="54"/>
    </row>
    <row r="11" spans="1:28" x14ac:dyDescent="0.35">
      <c r="H11" s="60"/>
      <c r="L11" s="165"/>
      <c r="M11" s="145"/>
      <c r="N11" s="155"/>
      <c r="O11" s="136"/>
      <c r="P11" s="103"/>
      <c r="AB11" s="103"/>
    </row>
    <row r="12" spans="1:28" ht="15" thickBot="1" x14ac:dyDescent="0.4">
      <c r="A12" s="11" t="s">
        <v>14</v>
      </c>
      <c r="C12" s="61"/>
      <c r="D12" s="62"/>
      <c r="E12" s="62"/>
      <c r="L12" s="170">
        <v>80</v>
      </c>
      <c r="M12" s="157" t="s">
        <v>10</v>
      </c>
      <c r="N12" s="156">
        <v>510447</v>
      </c>
      <c r="O12" s="135"/>
      <c r="P12" s="103"/>
      <c r="AB12" s="103"/>
    </row>
    <row r="13" spans="1:28" x14ac:dyDescent="0.35">
      <c r="A13" s="160" t="s">
        <v>16</v>
      </c>
      <c r="B13" s="160"/>
      <c r="C13" s="161"/>
      <c r="D13" s="186">
        <v>1250</v>
      </c>
      <c r="E13" s="188" t="s">
        <v>17</v>
      </c>
      <c r="F13" s="63"/>
      <c r="G13" s="63"/>
      <c r="H13" s="54"/>
      <c r="L13" s="169"/>
      <c r="M13" s="158"/>
      <c r="N13" s="156"/>
      <c r="O13" s="135"/>
      <c r="P13" s="103"/>
      <c r="AB13" s="103"/>
    </row>
    <row r="14" spans="1:28" ht="15" thickBot="1" x14ac:dyDescent="0.4">
      <c r="A14" s="160"/>
      <c r="B14" s="160"/>
      <c r="C14" s="161"/>
      <c r="D14" s="187"/>
      <c r="E14" s="188"/>
      <c r="F14" s="9"/>
      <c r="G14" s="9"/>
      <c r="H14" s="9"/>
      <c r="L14" s="164">
        <v>100</v>
      </c>
      <c r="M14" s="144" t="s">
        <v>13</v>
      </c>
      <c r="N14" s="155">
        <v>510448</v>
      </c>
      <c r="O14" s="136"/>
      <c r="P14" s="103"/>
      <c r="AB14" s="103"/>
    </row>
    <row r="15" spans="1:28" x14ac:dyDescent="0.35">
      <c r="A15" s="162" t="s">
        <v>19</v>
      </c>
      <c r="B15" s="162"/>
      <c r="C15" s="163"/>
      <c r="D15" s="186">
        <v>1480</v>
      </c>
      <c r="E15" s="188" t="s">
        <v>17</v>
      </c>
      <c r="F15" s="63"/>
      <c r="G15" s="63"/>
      <c r="H15" s="54"/>
      <c r="L15" s="165"/>
      <c r="M15" s="145"/>
      <c r="N15" s="155"/>
      <c r="O15" s="136"/>
      <c r="P15" s="103"/>
      <c r="AB15" s="103"/>
    </row>
    <row r="16" spans="1:28" ht="15.65" customHeight="1" thickBot="1" x14ac:dyDescent="0.4">
      <c r="A16" s="162"/>
      <c r="B16" s="162"/>
      <c r="C16" s="163"/>
      <c r="D16" s="187"/>
      <c r="E16" s="188"/>
      <c r="L16" s="170">
        <v>120</v>
      </c>
      <c r="M16" s="157" t="s">
        <v>15</v>
      </c>
      <c r="N16" s="156">
        <v>510449</v>
      </c>
      <c r="O16" s="136"/>
      <c r="P16" s="103"/>
      <c r="AB16" s="103"/>
    </row>
    <row r="17" spans="1:28" ht="14.4" customHeight="1" x14ac:dyDescent="0.35">
      <c r="A17" s="196" t="s">
        <v>21</v>
      </c>
      <c r="B17" s="196"/>
      <c r="C17" s="197"/>
      <c r="D17" s="186">
        <v>78</v>
      </c>
      <c r="E17" s="188" t="s">
        <v>17</v>
      </c>
      <c r="L17" s="169"/>
      <c r="M17" s="158"/>
      <c r="N17" s="156"/>
      <c r="O17" s="136"/>
      <c r="P17" s="103"/>
      <c r="AB17" s="103"/>
    </row>
    <row r="18" spans="1:28" ht="15.65" customHeight="1" thickBot="1" x14ac:dyDescent="0.4">
      <c r="A18" s="196"/>
      <c r="B18" s="196"/>
      <c r="C18" s="197"/>
      <c r="D18" s="187"/>
      <c r="E18" s="188"/>
      <c r="L18" s="164">
        <v>140</v>
      </c>
      <c r="M18" s="144" t="s">
        <v>18</v>
      </c>
      <c r="N18" s="155">
        <v>510453</v>
      </c>
      <c r="O18" s="136"/>
      <c r="P18" s="103"/>
      <c r="AB18" s="103"/>
    </row>
    <row r="19" spans="1:28" ht="14.4" customHeight="1" x14ac:dyDescent="0.35">
      <c r="B19" s="189" t="s">
        <v>23</v>
      </c>
      <c r="C19" s="190"/>
      <c r="D19" s="192">
        <v>0</v>
      </c>
      <c r="E19" s="188" t="s">
        <v>17</v>
      </c>
      <c r="G19" s="62"/>
      <c r="L19" s="165"/>
      <c r="M19" s="145"/>
      <c r="N19" s="155"/>
      <c r="O19" s="136"/>
      <c r="P19" s="103"/>
      <c r="AB19" s="103"/>
    </row>
    <row r="20" spans="1:28" ht="14.4" customHeight="1" thickBot="1" x14ac:dyDescent="0.4">
      <c r="B20" s="166"/>
      <c r="C20" s="191"/>
      <c r="D20" s="193"/>
      <c r="E20" s="188"/>
      <c r="L20" s="171">
        <v>160</v>
      </c>
      <c r="M20" s="173" t="s">
        <v>20</v>
      </c>
      <c r="N20" s="156">
        <v>510450</v>
      </c>
      <c r="O20" s="136"/>
      <c r="P20" s="103"/>
      <c r="AB20" s="103"/>
    </row>
    <row r="21" spans="1:28" ht="14.4" customHeight="1" thickBot="1" x14ac:dyDescent="0.4">
      <c r="B21" s="64"/>
      <c r="C21" s="64"/>
      <c r="D21" s="65"/>
      <c r="E21" s="66"/>
      <c r="L21" s="171"/>
      <c r="M21" s="173"/>
      <c r="N21" s="156"/>
      <c r="O21" s="136"/>
      <c r="P21" s="103"/>
      <c r="AB21" s="103"/>
    </row>
    <row r="22" spans="1:28" ht="17.399999999999999" customHeight="1" x14ac:dyDescent="0.35">
      <c r="B22" s="166" t="s">
        <v>3</v>
      </c>
      <c r="C22" s="191"/>
      <c r="D22" s="192">
        <v>100</v>
      </c>
      <c r="E22" s="188" t="s">
        <v>17</v>
      </c>
      <c r="F22" s="166" t="s">
        <v>75</v>
      </c>
      <c r="G22" s="166"/>
      <c r="H22" s="167">
        <f>VLOOKUP(D22,L8:N26,3,FALSE)</f>
        <v>510448</v>
      </c>
      <c r="L22" s="172">
        <v>180</v>
      </c>
      <c r="M22" s="174" t="s">
        <v>22</v>
      </c>
      <c r="N22" s="155">
        <v>510451</v>
      </c>
      <c r="O22" s="135"/>
      <c r="P22" s="103"/>
      <c r="AB22" s="103"/>
    </row>
    <row r="23" spans="1:28" ht="14.4" customHeight="1" thickBot="1" x14ac:dyDescent="0.4">
      <c r="B23" s="166"/>
      <c r="C23" s="191"/>
      <c r="D23" s="193"/>
      <c r="E23" s="188"/>
      <c r="F23" s="166"/>
      <c r="G23" s="166"/>
      <c r="H23" s="167"/>
      <c r="L23" s="164"/>
      <c r="M23" s="144"/>
      <c r="N23" s="175"/>
      <c r="O23" s="135"/>
      <c r="P23" s="103"/>
      <c r="AB23" s="103"/>
    </row>
    <row r="24" spans="1:28" ht="14.4" customHeight="1" x14ac:dyDescent="0.35">
      <c r="B24" s="64"/>
      <c r="C24" s="64"/>
      <c r="D24" s="65"/>
      <c r="E24" s="66"/>
      <c r="F24" s="64"/>
      <c r="G24" s="64"/>
      <c r="H24" s="65"/>
      <c r="L24" s="171">
        <v>200</v>
      </c>
      <c r="M24" s="173" t="s">
        <v>24</v>
      </c>
      <c r="N24" s="176">
        <v>510454</v>
      </c>
      <c r="O24" s="143"/>
      <c r="P24" s="103"/>
      <c r="AB24" s="103"/>
    </row>
    <row r="25" spans="1:28" ht="14.4" customHeight="1" x14ac:dyDescent="0.35">
      <c r="G25" s="67"/>
      <c r="H25" s="68"/>
      <c r="L25" s="171"/>
      <c r="M25" s="173"/>
      <c r="N25" s="176"/>
      <c r="O25" s="143"/>
      <c r="P25" s="103"/>
      <c r="AB25" s="103"/>
    </row>
    <row r="26" spans="1:28" ht="20" customHeight="1" thickBot="1" x14ac:dyDescent="0.5">
      <c r="B26" s="185"/>
      <c r="C26" s="185"/>
      <c r="D26" s="195" t="s">
        <v>25</v>
      </c>
      <c r="E26" s="195"/>
      <c r="F26" s="134" t="s">
        <v>26</v>
      </c>
      <c r="G26" s="69" t="s">
        <v>27</v>
      </c>
      <c r="J26" s="103"/>
      <c r="K26" s="103"/>
      <c r="L26" s="124"/>
      <c r="M26" s="125"/>
      <c r="N26" s="126"/>
      <c r="O26" s="125"/>
      <c r="P26" s="103"/>
      <c r="Q26" s="103"/>
      <c r="R26" s="103"/>
      <c r="S26" s="103"/>
      <c r="AB26" s="103"/>
    </row>
    <row r="27" spans="1:28" ht="20.399999999999999" customHeight="1" x14ac:dyDescent="0.4">
      <c r="A27" s="146"/>
      <c r="C27" s="147" t="s">
        <v>28</v>
      </c>
      <c r="D27" s="149">
        <f>ROUNDUP(K32/1000/K28,0)</f>
        <v>92</v>
      </c>
      <c r="E27" s="150"/>
      <c r="F27" s="134"/>
      <c r="G27" s="210">
        <f>(D27*K28)-K32/1000</f>
        <v>0.47999999999998977</v>
      </c>
      <c r="J27" s="113"/>
      <c r="K27" s="55" t="s">
        <v>8</v>
      </c>
      <c r="L27" s="114"/>
      <c r="M27" s="114"/>
      <c r="N27" s="114"/>
      <c r="O27" s="114"/>
      <c r="P27" s="114"/>
      <c r="Q27" s="113"/>
      <c r="R27" s="113"/>
      <c r="S27" s="127"/>
      <c r="T27" s="103"/>
      <c r="U27" s="103"/>
      <c r="V27" s="103"/>
      <c r="W27" s="103"/>
      <c r="X27" s="103"/>
      <c r="Y27" s="103"/>
      <c r="Z27" s="103"/>
      <c r="AA27" s="103"/>
      <c r="AB27" s="103"/>
    </row>
    <row r="28" spans="1:28" ht="15" customHeight="1" thickBot="1" x14ac:dyDescent="0.45">
      <c r="A28" s="146"/>
      <c r="C28" s="148"/>
      <c r="D28" s="151"/>
      <c r="E28" s="152"/>
      <c r="F28" s="134"/>
      <c r="G28" s="210"/>
      <c r="J28" s="115" t="s">
        <v>84</v>
      </c>
      <c r="K28" s="116">
        <v>1.1399999999999999</v>
      </c>
      <c r="L28" s="55"/>
      <c r="M28" s="55"/>
      <c r="N28" s="55"/>
      <c r="O28" s="55"/>
      <c r="P28" s="55"/>
      <c r="Q28" s="113"/>
      <c r="R28" s="113"/>
      <c r="S28" s="127"/>
      <c r="T28" s="103"/>
      <c r="U28" s="103"/>
    </row>
    <row r="29" spans="1:28" ht="18" customHeight="1" thickBot="1" x14ac:dyDescent="0.45">
      <c r="A29" s="102"/>
      <c r="B29" s="71"/>
      <c r="C29" s="72"/>
      <c r="D29" s="73"/>
      <c r="E29" s="73"/>
      <c r="F29" s="74"/>
      <c r="G29" s="75"/>
      <c r="J29" s="115" t="s">
        <v>79</v>
      </c>
      <c r="K29" s="55">
        <f>(D13+85+85+D19+D19)*D9</f>
        <v>25560</v>
      </c>
      <c r="L29" s="55"/>
      <c r="M29" s="55"/>
      <c r="N29" s="55"/>
      <c r="O29" s="55"/>
      <c r="P29" s="55"/>
      <c r="Q29" s="113"/>
      <c r="R29" s="113"/>
      <c r="S29" s="127"/>
      <c r="T29" s="103"/>
      <c r="U29" s="103"/>
    </row>
    <row r="30" spans="1:28" ht="20" customHeight="1" thickBot="1" x14ac:dyDescent="0.6">
      <c r="A30" s="76" t="s">
        <v>29</v>
      </c>
      <c r="D30" s="195" t="s">
        <v>30</v>
      </c>
      <c r="E30" s="195"/>
      <c r="H30" s="77" t="s">
        <v>31</v>
      </c>
      <c r="J30" s="115" t="s">
        <v>80</v>
      </c>
      <c r="K30" s="55">
        <f>(D15+D19+D19)*D9</f>
        <v>26640</v>
      </c>
      <c r="L30" s="55">
        <f>MIN(L31:L36)</f>
        <v>0</v>
      </c>
      <c r="M30" s="55"/>
      <c r="N30" s="55"/>
      <c r="O30" s="55"/>
      <c r="P30" s="55"/>
      <c r="Q30" s="113"/>
      <c r="R30" s="113"/>
      <c r="S30" s="127"/>
      <c r="T30" s="103"/>
      <c r="U30" s="103"/>
    </row>
    <row r="31" spans="1:28" ht="29.5" thickBot="1" x14ac:dyDescent="0.4">
      <c r="A31" s="46"/>
      <c r="B31" s="107" t="s">
        <v>32</v>
      </c>
      <c r="C31" s="108" t="s">
        <v>33</v>
      </c>
      <c r="D31" s="211">
        <f>ROUNDUP(K33/0.5,0)</f>
        <v>31</v>
      </c>
      <c r="E31" s="212"/>
      <c r="F31" s="104" t="s">
        <v>85</v>
      </c>
      <c r="H31" s="109">
        <f>ROUNDUP(D31/12,0)</f>
        <v>3</v>
      </c>
      <c r="J31" s="117" t="s">
        <v>81</v>
      </c>
      <c r="K31" s="55">
        <f>F50*0.23*D9*1000</f>
        <v>0</v>
      </c>
      <c r="L31" s="55">
        <f>IF(M31&gt;$D$17,1,0)</f>
        <v>0</v>
      </c>
      <c r="M31" s="55">
        <v>58</v>
      </c>
      <c r="N31" s="55">
        <v>5</v>
      </c>
      <c r="O31" s="55">
        <f>IF(C35="6-20",N31*11.5,N31*8)</f>
        <v>57.5</v>
      </c>
      <c r="P31" s="55">
        <f t="shared" ref="P31:P36" si="0">ROUNDUP($F$35/N31,0)</f>
        <v>2</v>
      </c>
      <c r="Q31" s="114"/>
      <c r="R31" s="114"/>
      <c r="S31" s="127"/>
      <c r="T31" s="103"/>
      <c r="U31" s="103"/>
    </row>
    <row r="32" spans="1:28" ht="23.5" thickBot="1" x14ac:dyDescent="0.5">
      <c r="A32" s="46"/>
      <c r="B32" s="78"/>
      <c r="C32" s="79"/>
      <c r="D32" s="80"/>
      <c r="E32" s="80"/>
      <c r="G32" s="81" t="s">
        <v>5</v>
      </c>
      <c r="H32" s="110">
        <v>502749</v>
      </c>
      <c r="J32" s="117" t="s">
        <v>82</v>
      </c>
      <c r="K32" s="55">
        <f>K29*2+K30*2+K31</f>
        <v>104400</v>
      </c>
      <c r="L32" s="55">
        <f>IF(M32&gt;$D$17,2,0)</f>
        <v>0</v>
      </c>
      <c r="M32" s="55">
        <v>66</v>
      </c>
      <c r="N32" s="55">
        <v>4</v>
      </c>
      <c r="O32" s="55">
        <f>IF(C52="6-20",N32*11.5,N32*8)</f>
        <v>32</v>
      </c>
      <c r="P32" s="55">
        <f t="shared" si="0"/>
        <v>3</v>
      </c>
      <c r="Q32" s="114"/>
      <c r="R32" s="114"/>
      <c r="S32" s="127"/>
    </row>
    <row r="33" spans="1:19" ht="25.5" thickBot="1" x14ac:dyDescent="0.4">
      <c r="A33" s="46"/>
      <c r="B33" s="82"/>
      <c r="C33" s="83"/>
      <c r="D33" s="84"/>
      <c r="E33" s="85"/>
      <c r="F33" s="86"/>
      <c r="G33" s="87"/>
      <c r="H33" s="88"/>
      <c r="J33" s="114"/>
      <c r="K33" s="118">
        <f>(64/1000/1000*2*1.15)*(K32+8*D22)</f>
        <v>15.485439999999997</v>
      </c>
      <c r="L33" s="55">
        <f>IF(M33&gt;$D$17,3,0)</f>
        <v>0</v>
      </c>
      <c r="M33" s="55">
        <v>72</v>
      </c>
      <c r="N33" s="55">
        <v>4</v>
      </c>
      <c r="O33" s="55">
        <f>IF(C53="6-20",N33*11.5,N33*8)</f>
        <v>32</v>
      </c>
      <c r="P33" s="55">
        <f t="shared" si="0"/>
        <v>3</v>
      </c>
      <c r="Q33" s="114"/>
      <c r="R33" s="114"/>
      <c r="S33" s="127"/>
    </row>
    <row r="34" spans="1:19" ht="31.25" customHeight="1" thickBot="1" x14ac:dyDescent="0.6">
      <c r="A34" s="76" t="s">
        <v>74</v>
      </c>
      <c r="D34" s="111" t="s">
        <v>30</v>
      </c>
      <c r="E34" s="111" t="s">
        <v>34</v>
      </c>
      <c r="F34" s="112" t="s">
        <v>35</v>
      </c>
      <c r="G34" s="98"/>
      <c r="H34" s="89" t="s">
        <v>31</v>
      </c>
      <c r="J34" s="114"/>
      <c r="K34" s="55">
        <f>(0.15*K29/1000+0.15*K30/1000)</f>
        <v>7.83</v>
      </c>
      <c r="L34" s="55">
        <f>IF(M34&gt;$D$17,4,0)</f>
        <v>0</v>
      </c>
      <c r="M34" s="55">
        <v>77</v>
      </c>
      <c r="N34" s="55">
        <v>3</v>
      </c>
      <c r="O34" s="55">
        <f>IF(C54="6-20",N34*11.5,N34*8)</f>
        <v>24</v>
      </c>
      <c r="P34" s="55">
        <f t="shared" si="0"/>
        <v>3</v>
      </c>
      <c r="Q34" s="55"/>
      <c r="R34" s="114"/>
      <c r="S34" s="127"/>
    </row>
    <row r="35" spans="1:19" ht="25" customHeight="1" x14ac:dyDescent="0.55000000000000004">
      <c r="A35" s="76"/>
      <c r="B35" s="199">
        <f>IF(D17=""," Blend-rahmentiefe ? ",VLOOKUP(L30,L31:M36,2))</f>
        <v>77</v>
      </c>
      <c r="C35" s="201" t="str">
        <f>IF(D17=""," - ",IF(D19&gt;18,"10 - 30","6-20"))</f>
        <v>6-20</v>
      </c>
      <c r="D35" s="203">
        <f>IF(D17=""," - ",(D13*2+D15*2+D19*4)/1000*D9*1.02)</f>
        <v>100.2456</v>
      </c>
      <c r="E35" s="203">
        <f>IF(D17=""," - ",IF(C35="6-20",11.5,8))</f>
        <v>11.5</v>
      </c>
      <c r="F35" s="205">
        <f>IF(D17=""," - ",ROUNDUP(D35/E35,0))</f>
        <v>9</v>
      </c>
      <c r="H35" s="207">
        <f>IF(D17=""," - ",VLOOKUP(B35,L31:P36,5))</f>
        <v>3</v>
      </c>
      <c r="J35" s="117" t="s">
        <v>83</v>
      </c>
      <c r="K35" s="55">
        <f>K29*K30/1000000*40/D9/D9</f>
        <v>84.064000000000007</v>
      </c>
      <c r="L35" s="55">
        <f>IF(M35&gt;$D$17,5,0)</f>
        <v>5</v>
      </c>
      <c r="M35" s="55">
        <v>83</v>
      </c>
      <c r="N35" s="55">
        <v>3</v>
      </c>
      <c r="O35" s="55" t="e">
        <f>IF(#REF!="6-20",N35*11.5,N35*8)</f>
        <v>#REF!</v>
      </c>
      <c r="P35" s="55">
        <f t="shared" si="0"/>
        <v>3</v>
      </c>
      <c r="Q35" s="55"/>
      <c r="R35" s="114"/>
      <c r="S35" s="127"/>
    </row>
    <row r="36" spans="1:19" ht="7.75" customHeight="1" thickBot="1" x14ac:dyDescent="0.4">
      <c r="A36" s="64"/>
      <c r="B36" s="200"/>
      <c r="C36" s="202"/>
      <c r="D36" s="204"/>
      <c r="E36" s="204"/>
      <c r="F36" s="206"/>
      <c r="G36" s="90"/>
      <c r="H36" s="208"/>
      <c r="J36" s="55"/>
      <c r="K36" s="55"/>
      <c r="L36" s="55">
        <f>IF(M36&gt;$D$17,6,0)</f>
        <v>6</v>
      </c>
      <c r="M36" s="55">
        <v>88</v>
      </c>
      <c r="N36" s="55">
        <v>3</v>
      </c>
      <c r="O36" s="55" t="e">
        <f>IF(#REF!="6-20",N36*11.5,N36*8)</f>
        <v>#REF!</v>
      </c>
      <c r="P36" s="55">
        <f t="shared" si="0"/>
        <v>3</v>
      </c>
      <c r="Q36" s="55"/>
      <c r="R36" s="55"/>
      <c r="S36" s="127"/>
    </row>
    <row r="37" spans="1:19" ht="24" thickBot="1" x14ac:dyDescent="0.4">
      <c r="A37" s="64"/>
      <c r="B37" s="91"/>
      <c r="C37" s="85"/>
      <c r="D37" s="92"/>
      <c r="E37" s="92"/>
      <c r="F37" s="93"/>
      <c r="G37" s="94" t="s">
        <v>5</v>
      </c>
      <c r="H37" s="123">
        <f>IF(D17=""," - ",IF(C35="6-20",VLOOKUP(B35,K46:M50,2),VLOOKUP(B35,K46:M50,3)))</f>
        <v>355685</v>
      </c>
      <c r="J37" s="55"/>
      <c r="K37" s="55"/>
      <c r="L37" s="55"/>
      <c r="M37" s="55"/>
      <c r="N37" s="55"/>
      <c r="O37" s="55"/>
      <c r="P37" s="55"/>
      <c r="Q37" s="55"/>
      <c r="R37" s="55"/>
      <c r="S37" s="127"/>
    </row>
    <row r="38" spans="1:19" ht="16.75" customHeight="1" x14ac:dyDescent="0.35">
      <c r="A38" s="46"/>
      <c r="B38" s="82"/>
      <c r="C38" s="83"/>
      <c r="D38" s="84"/>
      <c r="E38" s="85"/>
      <c r="F38" s="86"/>
      <c r="G38" s="87"/>
      <c r="J38" s="55"/>
      <c r="K38" s="55"/>
      <c r="L38" s="55"/>
      <c r="M38" s="55"/>
      <c r="N38" s="55"/>
      <c r="O38" s="55"/>
      <c r="P38" s="55"/>
      <c r="Q38" s="55"/>
      <c r="R38" s="55"/>
      <c r="S38" s="127"/>
    </row>
    <row r="39" spans="1:19" ht="20" customHeight="1" x14ac:dyDescent="0.55000000000000004">
      <c r="A39" s="76" t="s">
        <v>36</v>
      </c>
      <c r="F39" s="209" t="s">
        <v>37</v>
      </c>
      <c r="G39" s="209"/>
      <c r="H39" s="209"/>
      <c r="J39" s="55"/>
      <c r="K39" s="55">
        <v>58</v>
      </c>
      <c r="L39" s="55"/>
      <c r="M39" s="119" t="s">
        <v>72</v>
      </c>
      <c r="N39" s="55"/>
      <c r="O39" s="55">
        <v>355683</v>
      </c>
      <c r="P39" s="55">
        <v>58</v>
      </c>
      <c r="Q39" s="119" t="s">
        <v>73</v>
      </c>
      <c r="R39" s="55">
        <v>355689</v>
      </c>
      <c r="S39" s="127"/>
    </row>
    <row r="40" spans="1:19" ht="20" customHeight="1" x14ac:dyDescent="0.55000000000000004">
      <c r="A40" s="76"/>
      <c r="F40" s="183">
        <f>ROUNDUP(1+(D13-300)/600,0)</f>
        <v>3</v>
      </c>
      <c r="G40" s="183"/>
      <c r="H40" s="183"/>
      <c r="J40" s="55"/>
      <c r="K40" s="55">
        <v>66</v>
      </c>
      <c r="L40" s="55"/>
      <c r="M40" s="119" t="s">
        <v>72</v>
      </c>
      <c r="N40" s="55"/>
      <c r="O40" s="55">
        <v>355684</v>
      </c>
      <c r="P40" s="55">
        <v>66</v>
      </c>
      <c r="Q40" s="119" t="s">
        <v>73</v>
      </c>
      <c r="R40" s="55">
        <v>355690</v>
      </c>
      <c r="S40" s="127"/>
    </row>
    <row r="41" spans="1:19" ht="25" customHeight="1" thickBot="1" x14ac:dyDescent="0.4">
      <c r="F41" s="183"/>
      <c r="G41" s="183"/>
      <c r="H41" s="183"/>
      <c r="J41" s="55"/>
      <c r="K41" s="55">
        <v>72</v>
      </c>
      <c r="L41" s="55"/>
      <c r="M41" s="119" t="s">
        <v>72</v>
      </c>
      <c r="N41" s="55"/>
      <c r="O41" s="55">
        <v>355685</v>
      </c>
      <c r="P41" s="55">
        <v>72</v>
      </c>
      <c r="Q41" s="119" t="s">
        <v>73</v>
      </c>
      <c r="R41" s="55">
        <v>355691</v>
      </c>
      <c r="S41" s="127"/>
    </row>
    <row r="42" spans="1:19" ht="9" customHeight="1" x14ac:dyDescent="0.55000000000000004">
      <c r="B42" s="213">
        <f>K35</f>
        <v>84.064000000000007</v>
      </c>
      <c r="C42" s="214"/>
      <c r="D42" s="215"/>
      <c r="F42" s="183">
        <f>ROUNDUP(1+(D15-300)/600,0)</f>
        <v>3</v>
      </c>
      <c r="G42" s="101"/>
      <c r="H42" s="183">
        <f>ROUNDUP(1+(D15-300)/600,0)</f>
        <v>3</v>
      </c>
      <c r="J42" s="55"/>
      <c r="K42" s="55">
        <v>77</v>
      </c>
      <c r="L42" s="55"/>
      <c r="M42" s="119" t="s">
        <v>72</v>
      </c>
      <c r="N42" s="55"/>
      <c r="O42" s="55">
        <v>355686</v>
      </c>
      <c r="P42" s="55">
        <v>77</v>
      </c>
      <c r="Q42" s="119" t="s">
        <v>73</v>
      </c>
      <c r="R42" s="55">
        <v>355692</v>
      </c>
      <c r="S42" s="127"/>
    </row>
    <row r="43" spans="1:19" ht="24.75" customHeight="1" thickBot="1" x14ac:dyDescent="0.4">
      <c r="B43" s="216"/>
      <c r="C43" s="217"/>
      <c r="D43" s="218"/>
      <c r="F43" s="183"/>
      <c r="G43" s="131"/>
      <c r="H43" s="183"/>
      <c r="J43" s="55"/>
      <c r="K43" s="55">
        <v>83</v>
      </c>
      <c r="L43" s="55"/>
      <c r="M43" s="119" t="s">
        <v>72</v>
      </c>
      <c r="N43" s="55"/>
      <c r="O43" s="55">
        <v>355687</v>
      </c>
      <c r="P43" s="55">
        <v>83</v>
      </c>
      <c r="Q43" s="119" t="s">
        <v>73</v>
      </c>
      <c r="R43" s="55">
        <v>355693</v>
      </c>
      <c r="S43" s="127"/>
    </row>
    <row r="44" spans="1:19" ht="20" customHeight="1" x14ac:dyDescent="0.35">
      <c r="A44" s="99" t="s">
        <v>88</v>
      </c>
      <c r="C44" s="100"/>
      <c r="D44" s="100"/>
      <c r="F44" s="183"/>
      <c r="G44" s="131"/>
      <c r="H44" s="183"/>
      <c r="J44" s="55"/>
      <c r="K44" s="55">
        <v>88</v>
      </c>
      <c r="L44" s="55"/>
      <c r="M44" s="119" t="s">
        <v>72</v>
      </c>
      <c r="N44" s="55"/>
      <c r="O44" s="55">
        <v>355688</v>
      </c>
      <c r="P44" s="55">
        <v>88</v>
      </c>
      <c r="Q44" s="119" t="s">
        <v>73</v>
      </c>
      <c r="R44" s="55">
        <v>355694</v>
      </c>
      <c r="S44" s="127"/>
    </row>
    <row r="45" spans="1:19" ht="20" customHeight="1" x14ac:dyDescent="0.55000000000000004">
      <c r="A45" s="99"/>
      <c r="C45" s="100"/>
      <c r="D45" s="100"/>
      <c r="F45" s="183"/>
      <c r="G45" s="105"/>
      <c r="H45" s="183"/>
      <c r="J45" s="55"/>
      <c r="K45" s="55"/>
      <c r="L45" s="55"/>
      <c r="M45" s="55"/>
      <c r="N45" s="55"/>
      <c r="O45" s="55"/>
      <c r="P45" s="55"/>
      <c r="Q45" s="55"/>
      <c r="R45" s="55"/>
      <c r="S45" s="127"/>
    </row>
    <row r="46" spans="1:19" ht="14.4" customHeight="1" thickBot="1" x14ac:dyDescent="0.6">
      <c r="F46" s="183"/>
      <c r="G46" s="105"/>
      <c r="H46" s="183"/>
      <c r="J46" s="55"/>
      <c r="K46" s="55">
        <v>58</v>
      </c>
      <c r="L46" s="55">
        <f>IF(AND($B$35=58,"6 - 20"),R39,O39)</f>
        <v>355683</v>
      </c>
      <c r="M46" s="55">
        <f>IF(AND($B$35=58,"6 - 20"),O39,R39)</f>
        <v>355689</v>
      </c>
      <c r="N46" s="55"/>
      <c r="O46" s="194"/>
      <c r="P46" s="194"/>
      <c r="Q46" s="55"/>
      <c r="R46" s="55"/>
      <c r="S46" s="127"/>
    </row>
    <row r="47" spans="1:19" ht="14.4" customHeight="1" x14ac:dyDescent="0.35">
      <c r="B47" s="177" t="s">
        <v>38</v>
      </c>
      <c r="C47" s="179">
        <f>(F40+F42+H42+G49+F49+H49+F50+H50)*D9</f>
        <v>234</v>
      </c>
      <c r="D47" s="180"/>
      <c r="J47" s="55"/>
      <c r="K47" s="55">
        <v>66</v>
      </c>
      <c r="L47" s="55">
        <f>IF(AND($B$35=58,"6 - 20"),R40,O40)</f>
        <v>355684</v>
      </c>
      <c r="M47" s="55">
        <f>IF(AND($B$35=58,"6 - 20"),O40,R40)</f>
        <v>355690</v>
      </c>
      <c r="N47" s="55"/>
      <c r="O47" s="55"/>
      <c r="P47" s="55"/>
      <c r="Q47" s="55"/>
      <c r="R47" s="55"/>
      <c r="S47" s="127"/>
    </row>
    <row r="48" spans="1:19" ht="23.4" customHeight="1" thickBot="1" x14ac:dyDescent="0.4">
      <c r="B48" s="178"/>
      <c r="C48" s="181"/>
      <c r="D48" s="182"/>
      <c r="J48" s="55"/>
      <c r="K48" s="55">
        <v>72</v>
      </c>
      <c r="L48" s="55">
        <f>IF(AND($B$35=58,"6 - 20"),R41,O41)</f>
        <v>355685</v>
      </c>
      <c r="M48" s="55">
        <f>IF(AND($B$35=58,"6 - 20"),O41,R41)</f>
        <v>355691</v>
      </c>
      <c r="N48" s="55"/>
      <c r="O48" s="55"/>
      <c r="P48" s="55"/>
      <c r="Q48" s="55"/>
      <c r="R48" s="55"/>
      <c r="S48" s="127"/>
    </row>
    <row r="49" spans="1:19" ht="19.75" customHeight="1" x14ac:dyDescent="0.35">
      <c r="D49" s="95"/>
      <c r="E49" s="94" t="s">
        <v>39</v>
      </c>
      <c r="F49" s="106">
        <f>IF(AND(K35&gt;150,D22&lt;=100),1,0)</f>
        <v>0</v>
      </c>
      <c r="G49" s="122">
        <f>ROUNDUP(1+(D13-300)/400,0)</f>
        <v>4</v>
      </c>
      <c r="H49" s="121">
        <f>IF(AND(K35&gt;150,D22&lt;=100),1,0)</f>
        <v>0</v>
      </c>
      <c r="J49" s="55"/>
      <c r="K49" s="55">
        <v>83</v>
      </c>
      <c r="L49" s="55">
        <f>IF(AND($B$35=58,"6 - 20"),R43,O43)</f>
        <v>355687</v>
      </c>
      <c r="M49" s="55">
        <f>IF(AND($B$35=58,"6 - 20"),O43,R43)</f>
        <v>355693</v>
      </c>
      <c r="N49" s="55"/>
      <c r="O49" s="55"/>
      <c r="P49" s="55"/>
      <c r="Q49" s="55"/>
      <c r="R49" s="55"/>
      <c r="S49" s="127"/>
    </row>
    <row r="50" spans="1:19" ht="20" customHeight="1" x14ac:dyDescent="0.35">
      <c r="E50" s="94" t="s">
        <v>40</v>
      </c>
      <c r="F50" s="106">
        <f>IF(OR(K35&gt;300,D22&gt;100),2,0)</f>
        <v>0</v>
      </c>
      <c r="H50" s="121">
        <f>IF(OR(K35&gt;300,D22&gt;100),2,0)</f>
        <v>0</v>
      </c>
      <c r="J50" s="55"/>
      <c r="K50" s="55">
        <v>88</v>
      </c>
      <c r="L50" s="55">
        <f>IF(AND($B$35=58,"6 - 20"),R44,O44)</f>
        <v>355688</v>
      </c>
      <c r="M50" s="55">
        <f>IF(AND($B$35=58,"6 - 20"),O44,R44)</f>
        <v>355694</v>
      </c>
      <c r="N50" s="55"/>
      <c r="O50" s="55"/>
      <c r="P50" s="55"/>
      <c r="Q50" s="55"/>
      <c r="R50" s="55"/>
      <c r="S50" s="127"/>
    </row>
    <row r="51" spans="1:19" ht="20" customHeight="1" x14ac:dyDescent="0.35">
      <c r="E51" s="198"/>
      <c r="F51" s="198"/>
      <c r="G51" s="198"/>
      <c r="H51" s="198"/>
    </row>
    <row r="52" spans="1:19" ht="20" customHeight="1" x14ac:dyDescent="0.35">
      <c r="A52" t="s">
        <v>77</v>
      </c>
      <c r="F52" s="96"/>
      <c r="G52" s="96"/>
      <c r="H52" s="96"/>
    </row>
    <row r="53" spans="1:19" ht="17" customHeight="1" x14ac:dyDescent="0.45">
      <c r="A53" t="s">
        <v>86</v>
      </c>
      <c r="F53" s="90"/>
      <c r="G53" s="90"/>
      <c r="H53" s="90"/>
      <c r="I53" s="97"/>
    </row>
    <row r="54" spans="1:19" ht="17" customHeight="1" x14ac:dyDescent="0.35">
      <c r="F54" s="90"/>
      <c r="G54" s="90"/>
      <c r="H54" s="90"/>
    </row>
    <row r="55" spans="1:19" ht="14.4" customHeight="1" x14ac:dyDescent="0.35">
      <c r="G55" s="120"/>
      <c r="H55" s="120"/>
    </row>
    <row r="56" spans="1:19" ht="14.4" customHeight="1" x14ac:dyDescent="0.35">
      <c r="F56" s="120"/>
      <c r="G56" s="120"/>
      <c r="H56" s="120"/>
    </row>
    <row r="57" spans="1:19" ht="24.75" customHeight="1" x14ac:dyDescent="0.35">
      <c r="F57" s="120"/>
      <c r="G57" s="120"/>
      <c r="H57" s="120"/>
    </row>
    <row r="59" spans="1:19" x14ac:dyDescent="0.35">
      <c r="P59" s="70"/>
    </row>
  </sheetData>
  <sheetProtection algorithmName="SHA-512" hashValue="p8jcUqX4yMP9tvuDm59PxR0dHUZjre89ovfUZSx/fRwGbmdpNh/2f9Cr23u70pLLlqmXghccIj4vBdtKe9/8WA==" saltValue="TVMOKkZrfDR7gEKFaQDcww==" spinCount="100000" sheet="1" objects="1" scenarios="1"/>
  <protectedRanges>
    <protectedRange sqref="D9 C10 C12" name="Bereich1"/>
  </protectedRanges>
  <mergeCells count="88">
    <mergeCell ref="O46:P46"/>
    <mergeCell ref="D26:E26"/>
    <mergeCell ref="A17:C18"/>
    <mergeCell ref="E51:H51"/>
    <mergeCell ref="B35:B36"/>
    <mergeCell ref="C35:C36"/>
    <mergeCell ref="D35:D36"/>
    <mergeCell ref="E35:E36"/>
    <mergeCell ref="F35:F36"/>
    <mergeCell ref="H35:H36"/>
    <mergeCell ref="F39:H39"/>
    <mergeCell ref="G27:G28"/>
    <mergeCell ref="D31:E31"/>
    <mergeCell ref="D30:E30"/>
    <mergeCell ref="B42:D43"/>
    <mergeCell ref="L24:L25"/>
    <mergeCell ref="E9:E10"/>
    <mergeCell ref="B26:C26"/>
    <mergeCell ref="D13:D14"/>
    <mergeCell ref="E13:E14"/>
    <mergeCell ref="D15:D16"/>
    <mergeCell ref="E15:E16"/>
    <mergeCell ref="B19:C20"/>
    <mergeCell ref="B22:C23"/>
    <mergeCell ref="E17:E18"/>
    <mergeCell ref="D19:D20"/>
    <mergeCell ref="E19:E20"/>
    <mergeCell ref="D22:D23"/>
    <mergeCell ref="E22:E23"/>
    <mergeCell ref="D17:D18"/>
    <mergeCell ref="M24:M25"/>
    <mergeCell ref="N24:N25"/>
    <mergeCell ref="B47:B48"/>
    <mergeCell ref="C47:D48"/>
    <mergeCell ref="F42:F46"/>
    <mergeCell ref="H42:H46"/>
    <mergeCell ref="F40:H41"/>
    <mergeCell ref="O20:O21"/>
    <mergeCell ref="O22:O23"/>
    <mergeCell ref="L20:L21"/>
    <mergeCell ref="L22:L23"/>
    <mergeCell ref="M20:M21"/>
    <mergeCell ref="M22:M23"/>
    <mergeCell ref="N20:N21"/>
    <mergeCell ref="N22:N23"/>
    <mergeCell ref="M18:M19"/>
    <mergeCell ref="O18:O19"/>
    <mergeCell ref="N18:N19"/>
    <mergeCell ref="L16:L17"/>
    <mergeCell ref="O16:O17"/>
    <mergeCell ref="N16:N17"/>
    <mergeCell ref="O10:O11"/>
    <mergeCell ref="L14:L15"/>
    <mergeCell ref="L8:L9"/>
    <mergeCell ref="L10:L11"/>
    <mergeCell ref="L12:L13"/>
    <mergeCell ref="A27:A28"/>
    <mergeCell ref="C27:C28"/>
    <mergeCell ref="D27:E28"/>
    <mergeCell ref="N8:N9"/>
    <mergeCell ref="N10:N11"/>
    <mergeCell ref="N12:N13"/>
    <mergeCell ref="N14:N15"/>
    <mergeCell ref="M12:M13"/>
    <mergeCell ref="M14:M15"/>
    <mergeCell ref="M8:M9"/>
    <mergeCell ref="A13:C14"/>
    <mergeCell ref="A15:C16"/>
    <mergeCell ref="L18:L19"/>
    <mergeCell ref="M16:M17"/>
    <mergeCell ref="F22:G23"/>
    <mergeCell ref="H22:H23"/>
    <mergeCell ref="L4:O5"/>
    <mergeCell ref="B3:E4"/>
    <mergeCell ref="G43:G44"/>
    <mergeCell ref="M6:M7"/>
    <mergeCell ref="O6:O7"/>
    <mergeCell ref="N6:N7"/>
    <mergeCell ref="F26:F28"/>
    <mergeCell ref="O12:O13"/>
    <mergeCell ref="O14:O15"/>
    <mergeCell ref="L6:L7"/>
    <mergeCell ref="B7:E7"/>
    <mergeCell ref="D9:D10"/>
    <mergeCell ref="B9:C10"/>
    <mergeCell ref="O24:O25"/>
    <mergeCell ref="O8:O9"/>
    <mergeCell ref="M10:M11"/>
  </mergeCells>
  <phoneticPr fontId="53" type="noConversion"/>
  <pageMargins left="0.7" right="0.7" top="0.78740157499999996" bottom="0.78740157499999996" header="0.3" footer="0.3"/>
  <pageSetup paperSize="9" scale="49" fitToWidth="0" orientation="landscape" r:id="rId1"/>
  <ignoredErrors>
    <ignoredError sqref="O31:O3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CH123"/>
  <sheetViews>
    <sheetView workbookViewId="0"/>
  </sheetViews>
  <sheetFormatPr baseColWidth="10" defaultColWidth="11.54296875" defaultRowHeight="14" x14ac:dyDescent="0.3"/>
  <cols>
    <col min="1" max="1" width="10.6328125" style="12" customWidth="1"/>
    <col min="2" max="2" width="20.6328125" style="1" customWidth="1"/>
    <col min="3" max="3" width="10.54296875" style="1" customWidth="1"/>
    <col min="4" max="4" width="7.54296875" style="1" customWidth="1"/>
    <col min="5" max="9" width="11.54296875" style="1" hidden="1" customWidth="1"/>
    <col min="10" max="11" width="11.54296875" style="1"/>
    <col min="12" max="12" width="17.36328125" style="12" customWidth="1"/>
    <col min="13" max="17" width="11.54296875" style="12"/>
    <col min="18" max="18" width="31.54296875" style="12" customWidth="1"/>
    <col min="19" max="86" width="11.54296875" style="12"/>
    <col min="87" max="16384" width="11.54296875" style="1"/>
  </cols>
  <sheetData>
    <row r="1" spans="2:18" s="12" customFormat="1" ht="20.399999999999999" customHeight="1" x14ac:dyDescent="0.3"/>
    <row r="2" spans="2:18" s="12" customFormat="1" ht="20.399999999999999" customHeight="1" x14ac:dyDescent="0.3"/>
    <row r="3" spans="2:18" s="12" customFormat="1" ht="20.399999999999999" customHeight="1" x14ac:dyDescent="0.3"/>
    <row r="4" spans="2:18" ht="24" x14ac:dyDescent="0.5">
      <c r="B4" s="43" t="s">
        <v>41</v>
      </c>
      <c r="C4" s="23"/>
      <c r="D4" s="23"/>
      <c r="E4" s="12"/>
      <c r="F4" s="12"/>
      <c r="G4" s="12"/>
      <c r="H4" s="12"/>
      <c r="I4" s="12"/>
      <c r="J4" s="12"/>
      <c r="K4" s="12"/>
    </row>
    <row r="5" spans="2:18" ht="24" x14ac:dyDescent="0.5">
      <c r="B5" s="44" t="s">
        <v>42</v>
      </c>
      <c r="C5" s="23"/>
      <c r="D5" s="23"/>
      <c r="E5" s="12"/>
      <c r="F5" s="12"/>
      <c r="G5" s="12"/>
      <c r="H5" s="12"/>
      <c r="I5" s="12"/>
      <c r="J5" s="12"/>
      <c r="K5" s="12"/>
    </row>
    <row r="6" spans="2:18" ht="24" x14ac:dyDescent="0.5">
      <c r="B6" s="44" t="s">
        <v>43</v>
      </c>
      <c r="C6" s="23"/>
      <c r="D6" s="23"/>
      <c r="E6" s="12"/>
      <c r="F6" s="12"/>
      <c r="G6" s="12"/>
      <c r="H6" s="12"/>
      <c r="I6" s="12"/>
      <c r="J6" s="12"/>
      <c r="K6" s="12"/>
    </row>
    <row r="7" spans="2:18" s="12" customFormat="1" ht="14.5" thickBot="1" x14ac:dyDescent="0.35"/>
    <row r="8" spans="2:18" ht="21" customHeight="1" thickBot="1" x14ac:dyDescent="0.35">
      <c r="B8" s="12"/>
      <c r="C8" s="12"/>
      <c r="D8" s="10" t="s">
        <v>44</v>
      </c>
      <c r="E8" s="12"/>
      <c r="F8" s="12"/>
      <c r="G8" s="12"/>
      <c r="H8" s="12"/>
      <c r="I8" s="12"/>
      <c r="J8" s="25">
        <v>250</v>
      </c>
      <c r="K8" s="11"/>
    </row>
    <row r="9" spans="2:18" s="12" customFormat="1" ht="6" customHeight="1" thickBot="1" x14ac:dyDescent="0.35">
      <c r="D9" s="17"/>
      <c r="J9" s="18"/>
      <c r="K9" s="20"/>
    </row>
    <row r="10" spans="2:18" ht="21" customHeight="1" thickBot="1" x14ac:dyDescent="0.35">
      <c r="B10" s="12"/>
      <c r="C10" s="12"/>
      <c r="D10" s="10" t="s">
        <v>45</v>
      </c>
      <c r="E10" s="12"/>
      <c r="F10" s="12"/>
      <c r="G10" s="12"/>
      <c r="H10" s="12"/>
      <c r="I10" s="12"/>
      <c r="J10" s="8">
        <v>53</v>
      </c>
      <c r="K10" s="19" t="s">
        <v>46</v>
      </c>
    </row>
    <row r="11" spans="2:18" s="12" customFormat="1" ht="6" customHeight="1" thickBot="1" x14ac:dyDescent="0.35"/>
    <row r="12" spans="2:18" ht="21" customHeight="1" thickBot="1" x14ac:dyDescent="0.35">
      <c r="B12" s="12"/>
      <c r="C12" s="12"/>
      <c r="D12" s="10" t="s">
        <v>47</v>
      </c>
      <c r="E12" s="12"/>
      <c r="F12" s="12"/>
      <c r="G12" s="12"/>
      <c r="H12" s="12"/>
      <c r="I12" s="12"/>
      <c r="J12" s="8">
        <v>15</v>
      </c>
      <c r="K12" s="42" t="s">
        <v>48</v>
      </c>
    </row>
    <row r="13" spans="2:18" s="12" customFormat="1" ht="6" customHeight="1" thickBot="1" x14ac:dyDescent="0.35"/>
    <row r="14" spans="2:18" ht="31.25" customHeight="1" thickBot="1" x14ac:dyDescent="0.35">
      <c r="B14" s="219" t="s">
        <v>49</v>
      </c>
      <c r="C14" s="220"/>
      <c r="D14" s="221"/>
      <c r="E14" s="6" t="s">
        <v>50</v>
      </c>
      <c r="F14" s="7" t="s">
        <v>51</v>
      </c>
      <c r="G14" s="7" t="s">
        <v>52</v>
      </c>
      <c r="H14" s="7" t="s">
        <v>53</v>
      </c>
      <c r="I14" s="6" t="s">
        <v>54</v>
      </c>
      <c r="J14" s="6" t="s">
        <v>30</v>
      </c>
      <c r="K14" s="6" t="s">
        <v>55</v>
      </c>
      <c r="M14" s="31" t="s">
        <v>56</v>
      </c>
      <c r="N14" s="32"/>
      <c r="O14" s="32"/>
      <c r="P14" s="32"/>
      <c r="Q14" s="32"/>
      <c r="R14" s="33"/>
    </row>
    <row r="15" spans="2:18" s="9" customFormat="1" ht="14.5" x14ac:dyDescent="0.35">
      <c r="B15" s="15"/>
      <c r="C15" s="15"/>
      <c r="D15" s="15"/>
      <c r="E15" s="15"/>
      <c r="F15" s="16"/>
      <c r="G15" s="12"/>
      <c r="H15" s="12"/>
      <c r="I15" s="12"/>
      <c r="J15" s="12"/>
      <c r="M15" s="34" t="s">
        <v>57</v>
      </c>
      <c r="R15" s="35"/>
    </row>
    <row r="16" spans="2:18" ht="15.5" x14ac:dyDescent="0.3">
      <c r="B16" s="27" t="s">
        <v>58</v>
      </c>
      <c r="C16" s="29"/>
      <c r="D16" s="28"/>
      <c r="E16" s="4">
        <f>IF(J12&lt;612.4,IF(J12&lt;9,6.4,IF(J12&lt;11,3.8,IF(J12&lt;16,2,IF(J12&lt;21,1.2,IF(J12&lt;26,0.8,IF(J12&lt;31,0.6)))))))</f>
        <v>2</v>
      </c>
      <c r="F16" s="5">
        <f>1/E16</f>
        <v>0.5</v>
      </c>
      <c r="G16" s="21">
        <f>F16*5%</f>
        <v>2.5000000000000001E-2</v>
      </c>
      <c r="H16" s="2">
        <f>G16*$J$10</f>
        <v>1.3250000000000002</v>
      </c>
      <c r="I16" s="3">
        <f>$J$8*F16</f>
        <v>125</v>
      </c>
      <c r="J16" s="45">
        <f>ROUNDUP(I16+H16,0)</f>
        <v>127</v>
      </c>
      <c r="K16" s="22" t="s">
        <v>59</v>
      </c>
      <c r="M16" s="36" t="s">
        <v>60</v>
      </c>
      <c r="R16" s="37"/>
    </row>
    <row r="17" spans="2:18" ht="15.5" x14ac:dyDescent="0.3">
      <c r="B17" s="27" t="s">
        <v>61</v>
      </c>
      <c r="C17" s="29"/>
      <c r="D17" s="28"/>
      <c r="E17" s="4">
        <f>IF(J12&lt;6,24,IF(J12&lt;9,12.5,IF(J12&lt;11,7.5,IF(J12&lt;16,4,IF(J12&lt;21,2.5,IF(J12&lt;26,1.6,IF(J12&lt;31,1.3)))))))</f>
        <v>4</v>
      </c>
      <c r="F17" s="5">
        <f>1/E17</f>
        <v>0.25</v>
      </c>
      <c r="G17" s="21">
        <f>F17*5%</f>
        <v>1.2500000000000001E-2</v>
      </c>
      <c r="H17" s="2">
        <f>G17*$J$10</f>
        <v>0.66250000000000009</v>
      </c>
      <c r="I17" s="3">
        <f>$J$8*F17</f>
        <v>62.5</v>
      </c>
      <c r="J17" s="45">
        <f>ROUNDUP(I17+H17,0)</f>
        <v>64</v>
      </c>
      <c r="K17" s="22" t="s">
        <v>62</v>
      </c>
      <c r="M17" s="38" t="s">
        <v>63</v>
      </c>
      <c r="R17" s="37"/>
    </row>
    <row r="18" spans="2:18" s="12" customFormat="1" ht="15.5" x14ac:dyDescent="0.35">
      <c r="B18" s="27" t="s">
        <v>64</v>
      </c>
      <c r="C18" s="30" t="str">
        <f>IF(J12&lt;8,"XS",IF(J12&lt;12,"S",IF(J12&lt;18,"M",IF(J12&lt;24,"L",IF(J12&lt;31,"XL")))))</f>
        <v>M</v>
      </c>
      <c r="D18" s="28"/>
      <c r="E18" s="24">
        <f>IF(J12&lt;7,9,IF(J12&lt;10,8,IF(J12&lt;15,6,IF(J12&lt;21,5,IF(J12&lt;42,3)))))</f>
        <v>5</v>
      </c>
      <c r="F18" s="13">
        <f t="shared" ref="F18" si="0">1/E18</f>
        <v>0.2</v>
      </c>
      <c r="G18" s="21">
        <f>J10*(J12/1000)*2</f>
        <v>1.5899999999999999</v>
      </c>
      <c r="H18" s="26"/>
      <c r="I18" s="14">
        <f>J8+G18</f>
        <v>251.59</v>
      </c>
      <c r="J18" s="45">
        <f>ROUNDUP(I18/E18,0)</f>
        <v>51</v>
      </c>
      <c r="K18" s="22" t="s">
        <v>65</v>
      </c>
      <c r="M18" s="38" t="s">
        <v>66</v>
      </c>
      <c r="R18" s="37"/>
    </row>
    <row r="19" spans="2:18" s="12" customFormat="1" x14ac:dyDescent="0.3">
      <c r="M19" s="38" t="s">
        <v>67</v>
      </c>
      <c r="R19" s="37"/>
    </row>
    <row r="20" spans="2:18" s="12" customFormat="1" x14ac:dyDescent="0.3">
      <c r="M20" s="36" t="s">
        <v>68</v>
      </c>
      <c r="R20" s="37"/>
    </row>
    <row r="21" spans="2:18" s="12" customFormat="1" x14ac:dyDescent="0.3">
      <c r="M21" s="38" t="s">
        <v>69</v>
      </c>
      <c r="R21" s="37"/>
    </row>
    <row r="22" spans="2:18" s="12" customFormat="1" x14ac:dyDescent="0.3">
      <c r="M22" s="38" t="s">
        <v>70</v>
      </c>
      <c r="R22" s="37"/>
    </row>
    <row r="23" spans="2:18" s="12" customFormat="1" x14ac:dyDescent="0.3">
      <c r="M23" s="38" t="s">
        <v>71</v>
      </c>
      <c r="R23" s="37"/>
    </row>
    <row r="24" spans="2:18" s="12" customFormat="1" ht="6" customHeight="1" thickBot="1" x14ac:dyDescent="0.35">
      <c r="M24" s="41"/>
      <c r="N24" s="39"/>
      <c r="O24" s="39"/>
      <c r="P24" s="39"/>
      <c r="Q24" s="39"/>
      <c r="R24" s="40"/>
    </row>
    <row r="25" spans="2:18" s="12" customFormat="1" x14ac:dyDescent="0.3"/>
    <row r="26" spans="2:18" s="12" customFormat="1" x14ac:dyDescent="0.3"/>
    <row r="27" spans="2:18" s="12" customFormat="1" x14ac:dyDescent="0.3"/>
    <row r="28" spans="2:18" s="12" customFormat="1" x14ac:dyDescent="0.3"/>
    <row r="29" spans="2:18" s="12" customFormat="1" x14ac:dyDescent="0.3"/>
    <row r="30" spans="2:18" s="12" customFormat="1" x14ac:dyDescent="0.3"/>
    <row r="31" spans="2:18" s="12" customFormat="1" x14ac:dyDescent="0.3"/>
    <row r="32" spans="2:18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  <row r="62" s="12" customFormat="1" x14ac:dyDescent="0.3"/>
    <row r="63" s="12" customFormat="1" x14ac:dyDescent="0.3"/>
    <row r="64" s="12" customFormat="1" x14ac:dyDescent="0.3"/>
    <row r="65" s="12" customFormat="1" x14ac:dyDescent="0.3"/>
    <row r="66" s="12" customFormat="1" x14ac:dyDescent="0.3"/>
    <row r="67" s="12" customFormat="1" x14ac:dyDescent="0.3"/>
    <row r="68" s="12" customFormat="1" x14ac:dyDescent="0.3"/>
    <row r="69" s="12" customFormat="1" x14ac:dyDescent="0.3"/>
    <row r="70" s="12" customFormat="1" x14ac:dyDescent="0.3"/>
    <row r="71" s="12" customFormat="1" x14ac:dyDescent="0.3"/>
    <row r="72" s="12" customFormat="1" x14ac:dyDescent="0.3"/>
    <row r="73" s="12" customFormat="1" x14ac:dyDescent="0.3"/>
    <row r="74" s="12" customFormat="1" x14ac:dyDescent="0.3"/>
    <row r="75" s="12" customFormat="1" x14ac:dyDescent="0.3"/>
    <row r="76" s="12" customFormat="1" x14ac:dyDescent="0.3"/>
    <row r="77" s="12" customFormat="1" x14ac:dyDescent="0.3"/>
    <row r="78" s="12" customFormat="1" x14ac:dyDescent="0.3"/>
    <row r="79" s="12" customFormat="1" x14ac:dyDescent="0.3"/>
    <row r="80" s="12" customFormat="1" x14ac:dyDescent="0.3"/>
    <row r="81" s="12" customFormat="1" x14ac:dyDescent="0.3"/>
    <row r="82" s="12" customFormat="1" x14ac:dyDescent="0.3"/>
    <row r="83" s="12" customFormat="1" x14ac:dyDescent="0.3"/>
    <row r="84" s="12" customFormat="1" x14ac:dyDescent="0.3"/>
    <row r="85" s="12" customFormat="1" x14ac:dyDescent="0.3"/>
    <row r="86" s="12" customFormat="1" x14ac:dyDescent="0.3"/>
    <row r="87" s="12" customFormat="1" x14ac:dyDescent="0.3"/>
    <row r="88" s="12" customFormat="1" x14ac:dyDescent="0.3"/>
    <row r="89" s="12" customFormat="1" x14ac:dyDescent="0.3"/>
    <row r="90" s="12" customFormat="1" x14ac:dyDescent="0.3"/>
    <row r="91" s="12" customFormat="1" x14ac:dyDescent="0.3"/>
    <row r="92" s="12" customFormat="1" x14ac:dyDescent="0.3"/>
    <row r="93" s="12" customFormat="1" x14ac:dyDescent="0.3"/>
    <row r="94" s="12" customFormat="1" x14ac:dyDescent="0.3"/>
    <row r="95" s="12" customFormat="1" x14ac:dyDescent="0.3"/>
    <row r="96" s="12" customFormat="1" x14ac:dyDescent="0.3"/>
    <row r="97" s="12" customFormat="1" x14ac:dyDescent="0.3"/>
    <row r="98" s="12" customFormat="1" x14ac:dyDescent="0.3"/>
    <row r="99" s="12" customFormat="1" x14ac:dyDescent="0.3"/>
    <row r="100" s="12" customFormat="1" x14ac:dyDescent="0.3"/>
    <row r="101" s="12" customFormat="1" x14ac:dyDescent="0.3"/>
    <row r="102" s="12" customFormat="1" x14ac:dyDescent="0.3"/>
    <row r="103" s="12" customFormat="1" x14ac:dyDescent="0.3"/>
    <row r="104" s="12" customFormat="1" x14ac:dyDescent="0.3"/>
    <row r="105" s="12" customFormat="1" x14ac:dyDescent="0.3"/>
    <row r="106" s="12" customFormat="1" x14ac:dyDescent="0.3"/>
    <row r="107" s="12" customFormat="1" x14ac:dyDescent="0.3"/>
    <row r="108" s="12" customFormat="1" x14ac:dyDescent="0.3"/>
    <row r="109" s="12" customFormat="1" x14ac:dyDescent="0.3"/>
    <row r="110" s="12" customFormat="1" x14ac:dyDescent="0.3"/>
    <row r="111" s="12" customFormat="1" x14ac:dyDescent="0.3"/>
    <row r="112" s="12" customFormat="1" x14ac:dyDescent="0.3"/>
    <row r="113" s="12" customFormat="1" x14ac:dyDescent="0.3"/>
    <row r="114" s="12" customFormat="1" x14ac:dyDescent="0.3"/>
    <row r="115" s="12" customFormat="1" x14ac:dyDescent="0.3"/>
    <row r="116" s="12" customFormat="1" x14ac:dyDescent="0.3"/>
    <row r="117" s="12" customFormat="1" x14ac:dyDescent="0.3"/>
    <row r="118" s="12" customFormat="1" x14ac:dyDescent="0.3"/>
    <row r="119" s="12" customFormat="1" x14ac:dyDescent="0.3"/>
    <row r="120" s="12" customFormat="1" x14ac:dyDescent="0.3"/>
    <row r="121" s="12" customFormat="1" x14ac:dyDescent="0.3"/>
    <row r="122" s="12" customFormat="1" x14ac:dyDescent="0.3"/>
    <row r="123" s="12" customFormat="1" x14ac:dyDescent="0.3"/>
  </sheetData>
  <protectedRanges>
    <protectedRange sqref="J8 J10 J12" name="Bereich1"/>
  </protectedRanges>
  <mergeCells count="1">
    <mergeCell ref="B14:D1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1D67AD3605E45AA84271B8E5629F1" ma:contentTypeVersion="4" ma:contentTypeDescription="Create a new document." ma:contentTypeScope="" ma:versionID="3c24b81f914ee9b6f446b187787ea254">
  <xsd:schema xmlns:xsd="http://www.w3.org/2001/XMLSchema" xmlns:xs="http://www.w3.org/2001/XMLSchema" xmlns:p="http://schemas.microsoft.com/office/2006/metadata/properties" xmlns:ns2="af6cb214-9978-4ca4-a373-d126a2469825" xmlns:ns3="503690d7-cb3a-4f99-89b5-62f3c77d84ed" targetNamespace="http://schemas.microsoft.com/office/2006/metadata/properties" ma:root="true" ma:fieldsID="3c9ca3329a8e50495746b3351f91473c" ns2:_="" ns3:_="">
    <xsd:import namespace="af6cb214-9978-4ca4-a373-d126a2469825"/>
    <xsd:import namespace="503690d7-cb3a-4f99-89b5-62f3c77d8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cb214-9978-4ca4-a373-d126a24698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690d7-cb3a-4f99-89b5-62f3c77d8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873F00-F993-409C-AFF6-A95097434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cb214-9978-4ca4-a373-d126a2469825"/>
    <ds:schemaRef ds:uri="503690d7-cb3a-4f99-89b5-62f3c77d8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CF0503-2AD2-4952-BDE1-EB5B107846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PR150 SMART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subject/>
  <dc:creator>Pronath, Simon</dc:creator>
  <cp:keywords/>
  <dc:description/>
  <cp:lastModifiedBy>Distler, Barbara</cp:lastModifiedBy>
  <cp:revision/>
  <cp:lastPrinted>2022-07-15T15:20:19Z</cp:lastPrinted>
  <dcterms:created xsi:type="dcterms:W3CDTF">2013-03-06T06:43:09Z</dcterms:created>
  <dcterms:modified xsi:type="dcterms:W3CDTF">2023-02-22T09:26:43Z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0x010100FF91D67AD3605E45AA84271B8E5629F1</vt:lpwstr>
  </property>
</Properties>
</file>